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Ef4LbpBoh5ERLdVjfmmI8uak1WEI4seRJo2G2uP+BDS37TRAQgBIbk6JUerhiphjNhRKX1lD5gSlQWG53SjPNQ==" workbookSaltValue="MgAQHMTdWAM0zvDoienTCA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90" i="83" l="1"/>
  <c r="AG302" i="83"/>
  <c r="AI245" i="83"/>
  <c r="AC334" i="83"/>
  <c r="AH334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G334" i="83" l="1"/>
  <c r="AI33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P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<sst xmlns="http://schemas.openxmlformats.org/spreadsheetml/2006/main" count="65755" uniqueCount="755">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</sst>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16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16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16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0.60481562833140212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7.0577111562414072E-2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0.14726236209686777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9.8192137901595575E-2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7.8697287608027744E-2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4.5547249969272866E-4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6.6182750411260385E-2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7.0000258447555266E-2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6.9000258447555265E-2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6.7000258447555264E-2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1.1311350412527657E-2</v>
      </c>
      <c r="AB5" s="2">
        <f>SUMIFS(PERSALDATA!$G$2:$G$20871,PERSALDATA!$A$2:$A$20871,WORKING!A5,PERSALDATA!$D$2:$D$20871,WORKING!B5,PERSALDATA!$E$2:$E$20871,WORKING!C5,PERSALDATA!$F$2:$F$20871,"S&amp;W: BASIC SALARY (RES)")</f>
        <v>53</v>
      </c>
      <c r="AC5" s="2">
        <f>SUMIFS(PERSALDATA!$H$2:$H$20871,PERSALDATA!$A$2:$A$20871,WORKING!A5,PERSALDATA!$D$2:$D$20871,WORKING!B5,PERSALDATA!$E$2:$E$20871,WORKING!C5)</f>
        <v>1421951.9300000002</v>
      </c>
    </row>
    <row r="6" spans="1:29" x14ac:dyDescent="0.25">
      <c r="A6" s="2">
        <f>Results!$D$3</f>
        <v>16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0.56833173701365292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4.0538501010155548E-2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0.12099888265356562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0.10340884904371933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8.7868959088821447E-2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7.3941434783325183E-2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3.619599378278022E-4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4.5496764689321127E-3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6.8034250345572506E-2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7.0108045559796675E-2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6.9108045559796646E-2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6.7108045559796659E-2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1.1861552974796775E-2</v>
      </c>
      <c r="AB6" s="2">
        <f>SUMIFS(PERSALDATA!$G$2:$G$20871,PERSALDATA!$A$2:$A$20871,WORKING!A6,PERSALDATA!$D$2:$D$20871,WORKING!B6,PERSALDATA!$E$2:$E$20871,WORKING!C6,PERSALDATA!$F$2:$F$20871,"S&amp;W: BASIC SALARY (RES)")</f>
        <v>60</v>
      </c>
      <c r="AC6" s="2">
        <f>SUMIFS(PERSALDATA!$H$2:$H$20871,PERSALDATA!$A$2:$A$20871,WORKING!A6,PERSALDATA!$D$2:$D$20871,WORKING!B6,PERSALDATA!$E$2:$E$20871,WORKING!C6)</f>
        <v>2025638.54</v>
      </c>
    </row>
    <row r="7" spans="1:29" x14ac:dyDescent="0.25">
      <c r="A7" s="2">
        <f>Results!$D$3</f>
        <v>16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0.66376676844118343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3.5161698245364255E-2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0.11156072581027598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2.299554075988644E-2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7.5443133707355794E-2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8.4865771718877644E-2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3.5825960330055154E-4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4.5725341710657454E-3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1.2755675426901081E-3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6.8577588710321991E-2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7.0016039747507572E-2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6.9016039747507571E-2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6.7016039747507583E-2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1.2189568213186015E-2</v>
      </c>
      <c r="AB7" s="2">
        <f>SUMIFS(PERSALDATA!$G$2:$G$20871,PERSALDATA!$A$2:$A$20871,WORKING!A7,PERSALDATA!$D$2:$D$20871,WORKING!B7,PERSALDATA!$E$2:$E$20871,WORKING!C7,PERSALDATA!$F$2:$F$20871,"S&amp;W: BASIC SALARY (RES)")</f>
        <v>57</v>
      </c>
      <c r="AC7" s="2">
        <f>SUMIFS(PERSALDATA!$H$2:$H$20871,PERSALDATA!$A$2:$A$20871,WORKING!A7,PERSALDATA!$D$2:$D$20871,WORKING!B7,PERSALDATA!$E$2:$E$20871,WORKING!C7)</f>
        <v>1944232.6</v>
      </c>
    </row>
    <row r="8" spans="1:29" x14ac:dyDescent="0.25">
      <c r="A8" s="2">
        <f>Results!$D$3</f>
        <v>16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0.67315930334334073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6.3882628079749246E-2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8.641451631855071E-2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2.0232321766120335E-2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6.061077007049246E-2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8.7558220804721892E-2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2.8613797648601911E-4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4.5548812795003822E-3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3.3012203610381392E-3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7.0281047540777034E-2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7.0045016387871875E-2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6.9045016387871888E-2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6.7045016387871886E-2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1.2790328634517062E-2</v>
      </c>
      <c r="AB8" s="2">
        <f>SUMIFS(PERSALDATA!$G$2:$G$20871,PERSALDATA!$A$2:$A$20871,WORKING!A8,PERSALDATA!$D$2:$D$20871,WORKING!B8,PERSALDATA!$E$2:$E$20871,WORKING!C8,PERSALDATA!$F$2:$F$20871,"S&amp;W: BASIC SALARY (RES)")</f>
        <v>63</v>
      </c>
      <c r="AC8" s="2">
        <f>SUMIFS(PERSALDATA!$H$2:$H$20871,PERSALDATA!$A$2:$A$20871,WORKING!A8,PERSALDATA!$D$2:$D$20871,WORKING!B8,PERSALDATA!$E$2:$E$20871,WORKING!C8)</f>
        <v>2690520.18</v>
      </c>
    </row>
    <row r="9" spans="1:29" x14ac:dyDescent="0.25">
      <c r="A9" s="2">
        <f>Results!$D$3</f>
        <v>16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0.68593776516417571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7.185255027135827E-2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8.5193912487043416E-2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4.1797978142403122E-3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5.5558884746197718E-2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8.9234812052430737E-2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2.4330214670964314E-4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4.1147662564096771E-3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3.6842090614345514E-3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7.0303087037431461E-2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6.9981444146322527E-2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6.898144414632254E-2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6.6981444146322539E-2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1.2885058509300738E-2</v>
      </c>
      <c r="AB9" s="2">
        <f>SUMIFS(PERSALDATA!$G$2:$G$20871,PERSALDATA!$A$2:$A$20871,WORKING!A9,PERSALDATA!$D$2:$D$20871,WORKING!B9,PERSALDATA!$E$2:$E$20871,WORKING!C9,PERSALDATA!$F$2:$F$20871,"S&amp;W: BASIC SALARY (RES)")</f>
        <v>48</v>
      </c>
      <c r="AC9" s="2">
        <f>SUMIFS(PERSALDATA!$H$2:$H$20871,PERSALDATA!$A$2:$A$20871,WORKING!A9,PERSALDATA!$D$2:$D$20871,WORKING!B9,PERSALDATA!$E$2:$E$20871,WORKING!C9)</f>
        <v>2410829.5299999998</v>
      </c>
    </row>
    <row r="10" spans="1:29" x14ac:dyDescent="0.25">
      <c r="A10" s="2">
        <f>Results!$D$3</f>
        <v>16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0.71626533943720061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6.6790830118787545E-2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6.6222368149241206E-2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8.8933718268650961E-3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4.828013421714223E-2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9.3345285003124959E-2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2.0267124763814287E-4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7.1643021899697637E-2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7.0061978331764724E-2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6.9061978331764709E-2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6.7061978331764707E-2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1.3279422395789671E-2</v>
      </c>
      <c r="AB10" s="2">
        <f>SUMIFS(PERSALDATA!$G$2:$G$20871,PERSALDATA!$A$2:$A$20871,WORKING!A10,PERSALDATA!$D$2:$D$20871,WORKING!B10,PERSALDATA!$E$2:$E$20871,WORKING!C10,PERSALDATA!$F$2:$F$20871,"S&amp;W: BASIC SALARY (RES)")</f>
        <v>41</v>
      </c>
      <c r="AC10" s="2">
        <f>SUMIFS(PERSALDATA!$H$2:$H$20871,PERSALDATA!$A$2:$A$20871,WORKING!A10,PERSALDATA!$D$2:$D$20871,WORKING!B10,PERSALDATA!$E$2:$E$20871,WORKING!C10)</f>
        <v>2532376.9700000007</v>
      </c>
    </row>
    <row r="11" spans="1:29" x14ac:dyDescent="0.25">
      <c r="A11" s="2">
        <f>Results!$D$3</f>
        <v>16</v>
      </c>
      <c r="B11" s="2">
        <v>1</v>
      </c>
      <c r="C11" s="2">
        <v>9</v>
      </c>
      <c r="D11" s="62" t="str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/>
      </c>
      <c r="E11" s="62" t="str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/>
      </c>
      <c r="F11" s="62" t="str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/>
      </c>
      <c r="G11" s="69" t="str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/>
      </c>
      <c r="H11" s="62" t="str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/>
      </c>
      <c r="I11" s="62" t="str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/>
      </c>
      <c r="J11" s="62" t="str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/>
      </c>
      <c r="K11" s="62" t="str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/>
      </c>
      <c r="L11" s="62" t="str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/>
      </c>
      <c r="M11" s="62" t="str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/>
      </c>
      <c r="N11" s="62" t="str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/>
      </c>
      <c r="O11" s="62" t="str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/>
      </c>
      <c r="P11" s="62" t="str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/>
      </c>
      <c r="Q11" s="62" t="str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/>
      </c>
      <c r="R11" s="62" t="str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/>
      </c>
      <c r="S11" s="62" t="str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/>
      </c>
      <c r="T11" s="62" t="str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/>
      </c>
      <c r="U11" s="62" t="str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/>
      </c>
      <c r="V11" s="62" t="str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/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0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16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0.74304559777202195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7.163681579933262E-2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4.2917811101630503E-2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2.0932020933673956E-3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3.5504010934025332E-2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9.4854070861033604E-2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1.4448996404215603E-4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5.300080410370697E-3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4.5039210641757144E-3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7.3235302509352437E-2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7.0103382052994073E-2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6.9103382052994086E-2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6.7103382052994071E-2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1.3821505320004531E-2</v>
      </c>
      <c r="AB12" s="2">
        <f>SUMIFS(PERSALDATA!$G$2:$G$20871,PERSALDATA!$A$2:$A$20871,WORKING!A12,PERSALDATA!$D$2:$D$20871,WORKING!B12,PERSALDATA!$E$2:$E$20871,WORKING!C12,PERSALDATA!$F$2:$F$20871,"S&amp;W: BASIC SALARY (RES)")</f>
        <v>50</v>
      </c>
      <c r="AC12" s="2">
        <f>SUMIFS(PERSALDATA!$H$2:$H$20871,PERSALDATA!$A$2:$A$20871,WORKING!A12,PERSALDATA!$D$2:$D$20871,WORKING!B12,PERSALDATA!$E$2:$E$20871,WORKING!C12)</f>
        <v>4270954.07</v>
      </c>
    </row>
    <row r="13" spans="1:29" x14ac:dyDescent="0.25">
      <c r="A13" s="2">
        <f>Results!$D$3</f>
        <v>16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0.71722996712999931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3.5040529453064941E-2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2.6599284316644371E-2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4.2135249192820814E-2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9.3239598301611465E-2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1.1472654749025631E-4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8.5640645058368978E-2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0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1.3967261099145669E-2</v>
      </c>
      <c r="AB13" s="2">
        <f>SUMIFS(PERSALDATA!$G$2:$G$20871,PERSALDATA!$A$2:$A$20871,WORKING!A13,PERSALDATA!$D$2:$D$20871,WORKING!B13,PERSALDATA!$E$2:$E$20871,WORKING!C13,PERSALDATA!$F$2:$F$20871,"S&amp;W: BASIC SALARY (RES)")</f>
        <v>2</v>
      </c>
      <c r="AC13" s="2">
        <f>SUMIFS(PERSALDATA!$H$2:$H$20871,PERSALDATA!$A$2:$A$20871,WORKING!A13,PERSALDATA!$D$2:$D$20871,WORKING!B13,PERSALDATA!$E$2:$E$20871,WORKING!C13)</f>
        <v>266285.36</v>
      </c>
    </row>
    <row r="14" spans="1:29" x14ac:dyDescent="0.25">
      <c r="A14" s="2">
        <f>Results!$D$3</f>
        <v>16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0.70206192020845537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4.0782063987227973E-2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1.3300199734889369E-2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2.8772185092970563E-3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1.9678408253239788E-2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8.7245129699128496E-2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1.0120488236535692E-4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0.10617301369291146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2.7780841032485033E-2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1.450380280694258E-2</v>
      </c>
      <c r="AB14" s="2">
        <f>SUMIFS(PERSALDATA!$G$2:$G$20871,PERSALDATA!$A$2:$A$20871,WORKING!A14,PERSALDATA!$D$2:$D$20871,WORKING!B14,PERSALDATA!$E$2:$E$20871,WORKING!C14,PERSALDATA!$F$2:$F$20871,"S&amp;W: BASIC SALARY (RES)")</f>
        <v>46</v>
      </c>
      <c r="AC14" s="2">
        <f>SUMIFS(PERSALDATA!$H$2:$H$20871,PERSALDATA!$A$2:$A$20871,WORKING!A14,PERSALDATA!$D$2:$D$20871,WORKING!B14,PERSALDATA!$E$2:$E$20871,WORKING!C14)</f>
        <v>5554277.4900000012</v>
      </c>
    </row>
    <row r="15" spans="1:29" x14ac:dyDescent="0.25">
      <c r="A15" s="2">
        <f>Results!$D$3</f>
        <v>16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0.6133377495280754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4.5936815959531273E-2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8.481028945301998E-3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1.0564049539106795E-2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7.5660104922703184E-2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2.296104615849346E-2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7.5146800909584938E-5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0.19427910467708362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2.8704953468794574E-2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1.4713196620720225E-2</v>
      </c>
      <c r="AB15" s="2">
        <f>SUMIFS(PERSALDATA!$G$2:$G$20871,PERSALDATA!$A$2:$A$20871,WORKING!A15,PERSALDATA!$D$2:$D$20871,WORKING!B15,PERSALDATA!$E$2:$E$20871,WORKING!C15,PERSALDATA!$F$2:$F$20871,"S&amp;W: BASIC SALARY (RES)")</f>
        <v>21</v>
      </c>
      <c r="AC15" s="2">
        <f>SUMIFS(PERSALDATA!$H$2:$H$20871,PERSALDATA!$A$2:$A$20871,WORKING!A15,PERSALDATA!$D$2:$D$20871,WORKING!B15,PERSALDATA!$E$2:$E$20871,WORKING!C15)</f>
        <v>3414915.83</v>
      </c>
    </row>
    <row r="16" spans="1:29" x14ac:dyDescent="0.25">
      <c r="A16" s="2">
        <f>Results!$D$3</f>
        <v>16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0.64427827075084676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3.6572384168279008E-2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1.3461333181943846E-2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8.6900036123446055E-3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8.5950374004543417E-2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6.6577958710251469E-5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0.19888281422525261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1.2098242098079604E-2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1.4666731278705021E-2</v>
      </c>
      <c r="AB16" s="2">
        <f>SUMIFS(PERSALDATA!$G$2:$G$20871,PERSALDATA!$A$2:$A$20871,WORKING!A16,PERSALDATA!$D$2:$D$20871,WORKING!B16,PERSALDATA!$E$2:$E$20871,WORKING!C16,PERSALDATA!$F$2:$F$20871,"S&amp;W: BASIC SALARY (RES)")</f>
        <v>8</v>
      </c>
      <c r="AC16" s="2">
        <f>SUMIFS(PERSALDATA!$H$2:$H$20871,PERSALDATA!$A$2:$A$20871,WORKING!A16,PERSALDATA!$D$2:$D$20871,WORKING!B16,PERSALDATA!$E$2:$E$20871,WORKING!C16)</f>
        <v>1468353.8199999998</v>
      </c>
    </row>
    <row r="17" spans="1:29" x14ac:dyDescent="0.25">
      <c r="A17" s="2">
        <f>Results!$D$3</f>
        <v>16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0.66857877579538583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1.7390267494141534E-2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1.460126232998676E-2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8.6915146027224569E-2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6.014407606936119E-5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0.21245440427719212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1.4519224891497037E-2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609536.33999999985</v>
      </c>
    </row>
    <row r="18" spans="1:29" x14ac:dyDescent="0.25">
      <c r="A18" s="2">
        <f>Results!$D$3</f>
        <v>16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0.58192955289815551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9.9630226060982933E-3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8.4699853683967999E-2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1.6497037431777931E-5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0.31428462811182117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9.1064456625252078E-3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1.4850307205347047E-2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1481478.12</v>
      </c>
    </row>
    <row r="19" spans="1:29" x14ac:dyDescent="0.25">
      <c r="A19" s="2">
        <f>Results!$D$3</f>
        <v>16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16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16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16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16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16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16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16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16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16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0.72979470973643723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0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0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1.8147041527321546E-4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0.27002381984828955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7.5999999999999998E-2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7.0000000000000007E-2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6.9000000000000006E-2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6.7000000000000004E-2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1.4997277943770902E-2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168347</v>
      </c>
    </row>
    <row r="29" spans="1:29" x14ac:dyDescent="0.25">
      <c r="A29" s="2">
        <f>Results!$D$3</f>
        <v>16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0.88479759593521412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0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0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0.11502302691743455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0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1.7937714735142746E-4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7.5999999999999998E-2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7.0000000000000021E-2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6.900000000000002E-2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6.7000000000000018E-2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1.4997309342789729E-2</v>
      </c>
      <c r="AB29" s="2">
        <f>SUMIFS(PERSALDATA!$G$2:$G$20871,PERSALDATA!$A$2:$A$20871,WORKING!A29,PERSALDATA!$D$2:$D$20871,WORKING!B29,PERSALDATA!$E$2:$E$20871,WORKING!C29,PERSALDATA!$F$2:$F$20871,"S&amp;W: BASIC SALARY (RES)")</f>
        <v>1</v>
      </c>
      <c r="AC29" s="2">
        <f>SUMIFS(PERSALDATA!$H$2:$H$20871,PERSALDATA!$A$2:$A$20871,WORKING!A29,PERSALDATA!$D$2:$D$20871,WORKING!B29,PERSALDATA!$E$2:$E$20871,WORKING!C29)</f>
        <v>68124.62</v>
      </c>
    </row>
    <row r="30" spans="1:29" x14ac:dyDescent="0.25">
      <c r="A30" s="2">
        <f>Results!$D$3</f>
        <v>16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0.71144871232571416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0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2.3590591393342304E-2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1.1414380447371787E-4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0.26484655247646982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1.4998287842932893E-2</v>
      </c>
      <c r="AB30" s="2">
        <f>SUMIFS(PERSALDATA!$G$2:$G$20871,PERSALDATA!$A$2:$A$20871,WORKING!A30,PERSALDATA!$D$2:$D$20871,WORKING!B30,PERSALDATA!$E$2:$E$20871,WORKING!C30,PERSALDATA!$F$2:$F$20871,"S&amp;W: BASIC SALARY (RES)")</f>
        <v>2</v>
      </c>
      <c r="AC30" s="2">
        <f>SUMIFS(PERSALDATA!$H$2:$H$20871,PERSALDATA!$A$2:$A$20871,WORKING!A30,PERSALDATA!$D$2:$D$20871,WORKING!B30,PERSALDATA!$E$2:$E$20871,WORKING!C30)</f>
        <v>214115.87000000002</v>
      </c>
    </row>
    <row r="31" spans="1:29" x14ac:dyDescent="0.25">
      <c r="A31" s="2">
        <f>Results!$D$3</f>
        <v>16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0.69946420536168841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4.9530005602857197E-2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0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7.7398335682010849E-2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9.934259291846774E-5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0.17350811076052497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1.4998509861106221E-2</v>
      </c>
      <c r="AB31" s="2">
        <f>SUMIFS(PERSALDATA!$G$2:$G$20871,PERSALDATA!$A$2:$A$20871,WORKING!A31,PERSALDATA!$D$2:$D$20871,WORKING!B31,PERSALDATA!$E$2:$E$20871,WORKING!C31,PERSALDATA!$F$2:$F$20871,"S&amp;W: BASIC SALARY (RES)")</f>
        <v>2</v>
      </c>
      <c r="AC31" s="2">
        <f>SUMIFS(PERSALDATA!$H$2:$H$20871,PERSALDATA!$A$2:$A$20871,WORKING!A31,PERSALDATA!$D$2:$D$20871,WORKING!B31,PERSALDATA!$E$2:$E$20871,WORKING!C31)</f>
        <v>799556.34000000008</v>
      </c>
    </row>
    <row r="32" spans="1:29" x14ac:dyDescent="0.25">
      <c r="A32" s="2">
        <f>Results!$D$3</f>
        <v>16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0.69215883179361959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6.8798152836065024E-2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0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0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8.998046037320441E-2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8.3616136518464943E-5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0.1489789388605926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1.4998745757952223E-2</v>
      </c>
      <c r="AB32" s="2">
        <f>SUMIFS(PERSALDATA!$G$2:$G$20871,PERSALDATA!$A$2:$A$20871,WORKING!A32,PERSALDATA!$D$2:$D$20871,WORKING!B32,PERSALDATA!$E$2:$E$20871,WORKING!C32,PERSALDATA!$F$2:$F$20871,"S&amp;W: BASIC SALARY (RES)")</f>
        <v>1</v>
      </c>
      <c r="AC32" s="2">
        <f>SUMIFS(PERSALDATA!$H$2:$H$20871,PERSALDATA!$A$2:$A$20871,WORKING!A32,PERSALDATA!$D$2:$D$20871,WORKING!B32,PERSALDATA!$E$2:$E$20871,WORKING!C32)</f>
        <v>365360.1</v>
      </c>
    </row>
    <row r="33" spans="1:29" x14ac:dyDescent="0.25">
      <c r="A33" s="2">
        <f>Results!$D$3</f>
        <v>16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16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0.56772341792804237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3.7873657742130216E-2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3.2670310745871989E-3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0.12097045823829156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2.9249655854077551E-3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6.5684542161276546E-2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4.5470523612136197E-5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0.16123279557103493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4.0277661175617215E-2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1.4906437992245889E-2</v>
      </c>
      <c r="AB34" s="2">
        <f>SUMIFS(PERSALDATA!$G$2:$G$20871,PERSALDATA!$A$2:$A$20871,WORKING!A34,PERSALDATA!$D$2:$D$20871,WORKING!B34,PERSALDATA!$E$2:$E$20871,WORKING!C34,PERSALDATA!$F$2:$F$20871,"S&amp;W: BASIC SALARY (RES)")</f>
        <v>9</v>
      </c>
      <c r="AC34" s="2">
        <f>SUMIFS(PERSALDATA!$H$2:$H$20871,PERSALDATA!$A$2:$A$20871,WORKING!A34,PERSALDATA!$D$2:$D$20871,WORKING!B34,PERSALDATA!$E$2:$E$20871,WORKING!C34)</f>
        <v>15049749.720000001</v>
      </c>
    </row>
    <row r="35" spans="1:29" x14ac:dyDescent="0.25">
      <c r="A35" s="2">
        <f>Results!$D$3</f>
        <v>16</v>
      </c>
      <c r="B35" s="2">
        <v>2</v>
      </c>
      <c r="C35" s="2">
        <v>16</v>
      </c>
      <c r="D35" s="62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>0.52163410492378914</v>
      </c>
      <c r="E35" s="62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>2.4622067199611179E-2</v>
      </c>
      <c r="F35" s="62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>8.5210433361201272E-3</v>
      </c>
      <c r="G35" s="69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>0.15654950409804119</v>
      </c>
      <c r="H35" s="62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>3.0773139362445258E-3</v>
      </c>
      <c r="I35" s="62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>5.7492522607965231E-2</v>
      </c>
      <c r="J35" s="62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>0</v>
      </c>
      <c r="K35" s="62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>3.123814487021639E-5</v>
      </c>
      <c r="L35" s="62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>0</v>
      </c>
      <c r="M35" s="62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>0.11784114069425024</v>
      </c>
      <c r="N35" s="62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>0.11023106505910804</v>
      </c>
      <c r="O35" s="62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>0</v>
      </c>
      <c r="P35" s="62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>0</v>
      </c>
      <c r="Q35" s="62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>0</v>
      </c>
      <c r="R35" s="62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>0</v>
      </c>
      <c r="S35" s="62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>0</v>
      </c>
      <c r="T35" s="62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>0</v>
      </c>
      <c r="U35" s="62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>0</v>
      </c>
      <c r="V35" s="62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>0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1.4825556068741474E-2</v>
      </c>
      <c r="AB35" s="2">
        <f>SUMIFS(PERSALDATA!$G$2:$G$20871,PERSALDATA!$A$2:$A$20871,WORKING!A35,PERSALDATA!$D$2:$D$20871,WORKING!B35,PERSALDATA!$E$2:$E$20871,WORKING!C35,PERSALDATA!$F$2:$F$20871,"S&amp;W: BASIC SALARY (RES)")</f>
        <v>5</v>
      </c>
      <c r="AC35" s="2">
        <f>SUMIFS(PERSALDATA!$H$2:$H$20871,PERSALDATA!$A$2:$A$20871,WORKING!A35,PERSALDATA!$D$2:$D$20871,WORKING!B35,PERSALDATA!$E$2:$E$20871,WORKING!C35)</f>
        <v>8214956.4600000009</v>
      </c>
    </row>
    <row r="36" spans="1:29" x14ac:dyDescent="0.25">
      <c r="A36" s="2">
        <f>Results!$D$3</f>
        <v>16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16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16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16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16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16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16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16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0.72972819838577785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0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0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0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2.7259128127271126E-4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0.26999921033294955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7.6000000000000012E-2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7.0000000000000021E-2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6.9000000000000006E-2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6.7000000000000018E-2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1.4995911130780911E-2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268974.12</v>
      </c>
    </row>
    <row r="44" spans="1:29" x14ac:dyDescent="0.25">
      <c r="A44" s="2">
        <f>Results!$D$3</f>
        <v>16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0.7297666753636568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0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0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0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0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0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2.1976265489400643E-4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0.2700135619814491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7.5999999999999984E-2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7.0000000000000007E-2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6.9000000000000006E-2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6.7000000000000004E-2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1.4996703560176588E-2</v>
      </c>
      <c r="AB44" s="2">
        <f>SUMIFS(PERSALDATA!$G$2:$G$20871,PERSALDATA!$A$2:$A$20871,WORKING!A44,PERSALDATA!$D$2:$D$20871,WORKING!B44,PERSALDATA!$E$2:$E$20871,WORKING!C44,PERSALDATA!$F$2:$F$20871,"S&amp;W: BASIC SALARY (RES)")</f>
        <v>1</v>
      </c>
      <c r="AC44" s="2">
        <f>SUMIFS(PERSALDATA!$H$2:$H$20871,PERSALDATA!$A$2:$A$20871,WORKING!A44,PERSALDATA!$D$2:$D$20871,WORKING!B44,PERSALDATA!$E$2:$E$20871,WORKING!C44)</f>
        <v>417040.83</v>
      </c>
    </row>
    <row r="45" spans="1:29" x14ac:dyDescent="0.25">
      <c r="A45" s="2">
        <f>Results!$D$3</f>
        <v>16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16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0.74522055625008243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2.6188783466107927E-2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1.1730892695908256E-2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1.5761106053213625E-2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4.0854293657924874E-2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1.5397013902133212E-4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0.16009039773774167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7.5329107639855966E-2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7.0119107663839136E-2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6.9119107663839136E-2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6.7119107663839134E-2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1.4585310466677853E-2</v>
      </c>
      <c r="AB46" s="2">
        <f>SUMIFS(PERSALDATA!$G$2:$G$20871,PERSALDATA!$A$2:$A$20871,WORKING!A46,PERSALDATA!$D$2:$D$20871,WORKING!B46,PERSALDATA!$E$2:$E$20871,WORKING!C46,PERSALDATA!$F$2:$F$20871,"S&amp;W: BASIC SALARY (RES)")</f>
        <v>3</v>
      </c>
      <c r="AC46" s="2">
        <f>SUMIFS(PERSALDATA!$H$2:$H$20871,PERSALDATA!$A$2:$A$20871,WORKING!A46,PERSALDATA!$D$2:$D$20871,WORKING!B46,PERSALDATA!$E$2:$E$20871,WORKING!C46)</f>
        <v>1150807.5599999998</v>
      </c>
    </row>
    <row r="47" spans="1:29" x14ac:dyDescent="0.25">
      <c r="A47" s="2">
        <f>Results!$D$3</f>
        <v>16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16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0.72818846885148691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2.7035615834004583E-2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3.3924566309095926E-2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1.0884227372280196E-2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7.6933857444108536E-2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1.1164234492066169E-4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0.12292162184410305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1.4326193459605546E-2</v>
      </c>
      <c r="AB48" s="2">
        <f>SUMIFS(PERSALDATA!$G$2:$G$20871,PERSALDATA!$A$2:$A$20871,WORKING!A48,PERSALDATA!$D$2:$D$20871,WORKING!B48,PERSALDATA!$E$2:$E$20871,WORKING!C48,PERSALDATA!$F$2:$F$20871,"S&amp;W: BASIC SALARY (RES)")</f>
        <v>8</v>
      </c>
      <c r="AC48" s="2">
        <f>SUMIFS(PERSALDATA!$H$2:$H$20871,PERSALDATA!$A$2:$A$20871,WORKING!A48,PERSALDATA!$D$2:$D$20871,WORKING!B48,PERSALDATA!$E$2:$E$20871,WORKING!C48)</f>
        <v>4049897.0200000005</v>
      </c>
    </row>
    <row r="49" spans="1:29" x14ac:dyDescent="0.25">
      <c r="A49" s="2">
        <f>Results!$D$3</f>
        <v>16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0.70003208190866384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0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9.7759942491651222E-3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0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8.6567137481737528E-5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0.29010535670468945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1.4852061579200299E-2</v>
      </c>
      <c r="AB49" s="2">
        <f>SUMIFS(PERSALDATA!$G$2:$G$20871,PERSALDATA!$A$2:$A$20871,WORKING!A49,PERSALDATA!$D$2:$D$20871,WORKING!B49,PERSALDATA!$E$2:$E$20871,WORKING!C49,PERSALDATA!$F$2:$F$20871,"S&amp;W: BASIC SALARY (RES)")</f>
        <v>2</v>
      </c>
      <c r="AC49" s="2">
        <f>SUMIFS(PERSALDATA!$H$2:$H$20871,PERSALDATA!$A$2:$A$20871,WORKING!A49,PERSALDATA!$D$2:$D$20871,WORKING!B49,PERSALDATA!$E$2:$E$20871,WORKING!C49)</f>
        <v>564648.44999999995</v>
      </c>
    </row>
    <row r="50" spans="1:29" x14ac:dyDescent="0.25">
      <c r="A50" s="2">
        <f>Results!$D$3</f>
        <v>16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16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16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16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16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16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0.67826284259652292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6.0374530335780302E-2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8.4115389064818427E-2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0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7.2705243013351836E-2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8.8172927327160949E-2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0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6.0719243718181993E-4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0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1.5761875225183908E-2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7.0625103833260733E-2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7.0249424754552106E-2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6.9249424754552119E-2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6.7249424754552103E-2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1.263858263226972E-2</v>
      </c>
      <c r="AB55" s="2">
        <f>SUMIFS(PERSALDATA!$G$2:$G$20871,PERSALDATA!$A$2:$A$20871,WORKING!A55,PERSALDATA!$D$2:$D$20871,WORKING!B55,PERSALDATA!$E$2:$E$20871,WORKING!C55,PERSALDATA!$F$2:$F$20871,"S&amp;W: BASIC SALARY (RES)")</f>
        <v>6</v>
      </c>
      <c r="AC55" s="2">
        <f>SUMIFS(PERSALDATA!$H$2:$H$20871,PERSALDATA!$A$2:$A$20871,WORKING!A55,PERSALDATA!$D$2:$D$20871,WORKING!B55,PERSALDATA!$E$2:$E$20871,WORKING!C55)</f>
        <v>563511.62999999989</v>
      </c>
    </row>
    <row r="56" spans="1:29" x14ac:dyDescent="0.25">
      <c r="A56" s="2">
        <f>Results!$D$3</f>
        <v>16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16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0.60070006258738329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5.0719152643315529E-2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6.9630430499381071E-2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7.8804254391487083E-2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9.2145832774213232E-2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7.8208113530945741E-2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0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3.7889825572785796E-4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2.9413255317546273E-2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7.199812894088603E-2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7.0685883186619392E-2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6.9685883186619405E-2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6.7685883186619389E-2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1.2567672577060169E-2</v>
      </c>
      <c r="AB57" s="2">
        <f>SUMIFS(PERSALDATA!$G$2:$G$20871,PERSALDATA!$A$2:$A$20871,WORKING!A57,PERSALDATA!$D$2:$D$20871,WORKING!B57,PERSALDATA!$E$2:$E$20871,WORKING!C57,PERSALDATA!$F$2:$F$20871,"S&amp;W: BASIC SALARY (RES)")</f>
        <v>46</v>
      </c>
      <c r="AC57" s="2">
        <f>SUMIFS(PERSALDATA!$H$2:$H$20871,PERSALDATA!$A$2:$A$20871,WORKING!A57,PERSALDATA!$D$2:$D$20871,WORKING!B57,PERSALDATA!$E$2:$E$20871,WORKING!C57)</f>
        <v>7837090.709999999</v>
      </c>
    </row>
    <row r="58" spans="1:29" x14ac:dyDescent="0.25">
      <c r="A58" s="2">
        <f>Results!$D$3</f>
        <v>16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0.66537700307134906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5.359956715440118E-2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6.2888164283138245E-2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1.588016715246671E-2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0.10648248399009039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8.6498319697956502E-2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2.7128610829401929E-3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3.4818469726729092E-4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1.6940524693966272E-3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4.5191964009938012E-3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7.2711254290342753E-2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7.0968355617019974E-2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6.9968355617019973E-2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6.7968355617019985E-2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1.2454217505442563E-2</v>
      </c>
      <c r="AB58" s="2">
        <f>SUMIFS(PERSALDATA!$G$2:$G$20871,PERSALDATA!$A$2:$A$20871,WORKING!A58,PERSALDATA!$D$2:$D$20871,WORKING!B58,PERSALDATA!$E$2:$E$20871,WORKING!C58,PERSALDATA!$F$2:$F$20871,"S&amp;W: BASIC SALARY (RES)")</f>
        <v>10</v>
      </c>
      <c r="AC58" s="2">
        <f>SUMIFS(PERSALDATA!$H$2:$H$20871,PERSALDATA!$A$2:$A$20871,WORKING!A58,PERSALDATA!$D$2:$D$20871,WORKING!B58,PERSALDATA!$E$2:$E$20871,WORKING!C58)</f>
        <v>1965393.6700000002</v>
      </c>
    </row>
    <row r="59" spans="1:29" x14ac:dyDescent="0.25">
      <c r="A59" s="2">
        <f>Results!$D$3</f>
        <v>16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0.67525248635155966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1.51421093753143E-2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1.2223717058809791E-2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4.1943119556176064E-2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1.7670921038785068E-2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2.3660656743308212E-2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1.0008953462067338E-3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2.7946090631263647E-4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0.18250057883890211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3.0326054784625533E-2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7.5318390398073462E-2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7.0142826644993689E-2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6.9142826644993688E-2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6.7142826644993686E-2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1.4547388514941388E-2</v>
      </c>
      <c r="AB59" s="2">
        <f>SUMIFS(PERSALDATA!$G$2:$G$20871,PERSALDATA!$A$2:$A$20871,WORKING!A59,PERSALDATA!$D$2:$D$20871,WORKING!B59,PERSALDATA!$E$2:$E$20871,WORKING!C59,PERSALDATA!$F$2:$F$20871,"S&amp;W: BASIC SALARY (RES)")</f>
        <v>6</v>
      </c>
      <c r="AC59" s="2">
        <f>SUMIFS(PERSALDATA!$H$2:$H$20871,PERSALDATA!$A$2:$A$20871,WORKING!A59,PERSALDATA!$D$2:$D$20871,WORKING!B59,PERSALDATA!$E$2:$E$20871,WORKING!C59)</f>
        <v>6209240.5800000001</v>
      </c>
    </row>
    <row r="60" spans="1:29" x14ac:dyDescent="0.25">
      <c r="A60" s="2">
        <f>Results!$D$3</f>
        <v>16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0.72019228139293101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6.062979430859846E-2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2.9498310644170134E-2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3.9870561684932172E-2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2.8210887104625337E-2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9.3688996332053867E-2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3.9987982930173466E-4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2.1936097812157163E-4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2.6475304010749254E-2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8.1462371451670567E-4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7.4153080810507824E-2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7.0128180200127704E-2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6.9128180200127703E-2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6.7128180200127702E-2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1.4131071619096248E-2</v>
      </c>
      <c r="AB60" s="2">
        <f>SUMIFS(PERSALDATA!$G$2:$G$20871,PERSALDATA!$A$2:$A$20871,WORKING!A60,PERSALDATA!$D$2:$D$20871,WORKING!B60,PERSALDATA!$E$2:$E$20871,WORKING!C60,PERSALDATA!$F$2:$F$20871,"S&amp;W: BASIC SALARY (RES)")</f>
        <v>83</v>
      </c>
      <c r="AC60" s="2">
        <f>SUMIFS(PERSALDATA!$H$2:$H$20871,PERSALDATA!$A$2:$A$20871,WORKING!A60,PERSALDATA!$D$2:$D$20871,WORKING!B60,PERSALDATA!$E$2:$E$20871,WORKING!C60)</f>
        <v>27937193.079999994</v>
      </c>
    </row>
    <row r="61" spans="1:29" x14ac:dyDescent="0.25">
      <c r="A61" s="2">
        <f>Results!$D$3</f>
        <v>16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0.70599279339375032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5.7885941817618754E-2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3.298000630798506E-2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4.4671166246030035E-2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3.9095674452136839E-2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9.1789600725657811E-2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2.2351584842276971E-4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2.0110433069000852E-4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3.2632281960682566E-3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2.2795933817278707E-2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1.1010348643616344E-3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7.404085896292309E-2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7.0256635053702207E-2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6.9256635053702234E-2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6.7256635053702218E-2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1.3915848223637825E-2</v>
      </c>
      <c r="AB61" s="2">
        <f>SUMIFS(PERSALDATA!$G$2:$G$20871,PERSALDATA!$A$2:$A$20871,WORKING!A61,PERSALDATA!$D$2:$D$20871,WORKING!B61,PERSALDATA!$E$2:$E$20871,WORKING!C61,PERSALDATA!$F$2:$F$20871,"S&amp;W: BASIC SALARY (RES)")</f>
        <v>112</v>
      </c>
      <c r="AC61" s="2">
        <f>SUMIFS(PERSALDATA!$H$2:$H$20871,PERSALDATA!$A$2:$A$20871,WORKING!A61,PERSALDATA!$D$2:$D$20871,WORKING!B61,PERSALDATA!$E$2:$E$20871,WORKING!C61)</f>
        <v>41379616.099999994</v>
      </c>
    </row>
    <row r="62" spans="1:29" x14ac:dyDescent="0.25">
      <c r="A62" s="2">
        <f>Results!$D$3</f>
        <v>16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0.70093259120797868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6.0714652342773144E-2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2.6433502756552235E-2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5.8708968223319044E-2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3.786148921310626E-2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9.1120918675985527E-2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0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1.6508799391949547E-4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8.1517789641621114E-3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1.5911010622203219E-2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7.4521114639485492E-2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7.0303587310631063E-2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6.9303587310631062E-2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6.7303587310631047E-2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1.4033098800546324E-2</v>
      </c>
      <c r="AB62" s="2">
        <f>SUMIFS(PERSALDATA!$G$2:$G$20871,PERSALDATA!$A$2:$A$20871,WORKING!A62,PERSALDATA!$D$2:$D$20871,WORKING!B62,PERSALDATA!$E$2:$E$20871,WORKING!C62,PERSALDATA!$F$2:$F$20871,"S&amp;W: BASIC SALARY (RES)")</f>
        <v>11</v>
      </c>
      <c r="AC62" s="2">
        <f>SUMIFS(PERSALDATA!$H$2:$H$20871,PERSALDATA!$A$2:$A$20871,WORKING!A62,PERSALDATA!$D$2:$D$20871,WORKING!B62,PERSALDATA!$E$2:$E$20871,WORKING!C62)</f>
        <v>5107155.1600000011</v>
      </c>
    </row>
    <row r="63" spans="1:29" x14ac:dyDescent="0.25">
      <c r="A63" s="2">
        <f>Results!$D$3</f>
        <v>16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0.74259295569608919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6.5466225173991602E-2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2.2790018018440106E-2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2.0838232738009107E-2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3.442593933034354E-2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9.6536755803488236E-2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2.0337812079655954E-3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1.3939768996977669E-4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1.4354171252008684E-3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1.1959744652855922E-2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1.7815325636461135E-3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7.4749921781223388E-2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7.0288488909770769E-2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6.9288488909770754E-2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6.728848890977078E-2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1.41396696744187E-2</v>
      </c>
      <c r="AB63" s="2">
        <f>SUMIFS(PERSALDATA!$G$2:$G$20871,PERSALDATA!$A$2:$A$20871,WORKING!A63,PERSALDATA!$D$2:$D$20871,WORKING!B63,PERSALDATA!$E$2:$E$20871,WORKING!C63,PERSALDATA!$F$2:$F$20871,"S&amp;W: BASIC SALARY (RES)")</f>
        <v>36</v>
      </c>
      <c r="AC63" s="2">
        <f>SUMIFS(PERSALDATA!$H$2:$H$20871,PERSALDATA!$A$2:$A$20871,WORKING!A63,PERSALDATA!$D$2:$D$20871,WORKING!B63,PERSALDATA!$E$2:$E$20871,WORKING!C63)</f>
        <v>19942941.669999998</v>
      </c>
    </row>
    <row r="64" spans="1:29" x14ac:dyDescent="0.25">
      <c r="A64" s="2">
        <f>Results!$D$3</f>
        <v>16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0.70929598632319169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0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3.0269980927537903E-2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2.0631860725799755E-2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4.1883365767057347E-2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9.2208138921248309E-2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1.08793872627798E-4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0.10560187346253723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1.3916067891491656E-2</v>
      </c>
      <c r="AB64" s="2">
        <f>SUMIFS(PERSALDATA!$G$2:$G$20871,PERSALDATA!$A$2:$A$20871,WORKING!A64,PERSALDATA!$D$2:$D$20871,WORKING!B64,PERSALDATA!$E$2:$E$20871,WORKING!C64,PERSALDATA!$F$2:$F$20871,"S&amp;W: BASIC SALARY (RES)")</f>
        <v>2</v>
      </c>
      <c r="AC64" s="2">
        <f>SUMIFS(PERSALDATA!$H$2:$H$20871,PERSALDATA!$A$2:$A$20871,WORKING!A64,PERSALDATA!$D$2:$D$20871,WORKING!B64,PERSALDATA!$E$2:$E$20871,WORKING!C64)</f>
        <v>505451.25999999995</v>
      </c>
    </row>
    <row r="65" spans="1:29" x14ac:dyDescent="0.25">
      <c r="A65" s="2">
        <f>Results!$D$3</f>
        <v>16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0.6655426401955471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5.9994063100345101E-2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1.4999535057618198E-2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2.1915755072449285E-2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8.5494767855900392E-2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1.9257672446976713E-2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9.8098269562550065E-5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8.731569288000075E-3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0.12300270426911114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9.6319444448926463E-4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1.4669792199869818E-2</v>
      </c>
      <c r="AB65" s="2">
        <f>SUMIFS(PERSALDATA!$G$2:$G$20871,PERSALDATA!$A$2:$A$20871,WORKING!A65,PERSALDATA!$D$2:$D$20871,WORKING!B65,PERSALDATA!$E$2:$E$20871,WORKING!C65,PERSALDATA!$F$2:$F$20871,"S&amp;W: BASIC SALARY (RES)")</f>
        <v>9</v>
      </c>
      <c r="AC65" s="2">
        <f>SUMIFS(PERSALDATA!$H$2:$H$20871,PERSALDATA!$A$2:$A$20871,WORKING!A65,PERSALDATA!$D$2:$D$20871,WORKING!B65,PERSALDATA!$E$2:$E$20871,WORKING!C65)</f>
        <v>6352507.5700000012</v>
      </c>
    </row>
    <row r="66" spans="1:29" x14ac:dyDescent="0.25">
      <c r="A66" s="2">
        <f>Results!$D$3</f>
        <v>16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0.55850437472289749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4.9118310045019015E-2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0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7.031150423603777E-2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2.169494249632033E-2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7.2605406740548994E-2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7.0920091691521853E-5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0.19207516039774805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3.5619381269736822E-2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1.4673512061179821E-2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947686.30999999994</v>
      </c>
    </row>
    <row r="67" spans="1:29" x14ac:dyDescent="0.25">
      <c r="A67" s="2">
        <f>Results!$D$3</f>
        <v>16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0.57811815248262999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0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2.7761391595384523E-2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7.5155191039962252E-2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6.6000818150894721E-5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0.23431883753007438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8.4580426533797978E-2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1.4582589113796967E-2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370298.44</v>
      </c>
    </row>
    <row r="68" spans="1:29" x14ac:dyDescent="0.25">
      <c r="A68" s="2">
        <f>Results!$D$3</f>
        <v>16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16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16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16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0.99856653108146554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1.4334689185345067E-3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6.900000000000002E-2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1.4978497966221983E-2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34099.1</v>
      </c>
    </row>
    <row r="72" spans="1:29" x14ac:dyDescent="0.25">
      <c r="A72" s="2">
        <f>Results!$D$3</f>
        <v>16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16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16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16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16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16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16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16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16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16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16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16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16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16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16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16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16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16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16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0.61843789920843006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5.0961918747737617E-2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8.079930744818789E-2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0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0.16896631470887349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8.0395729870318886E-2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4.3883001645193592E-4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7.2224781039861935E-2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7.1726501646151228E-2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7.0726501646151199E-2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6.8726501646151225E-2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1.12469332173973E-2</v>
      </c>
      <c r="AB90" s="2">
        <f>SUMIFS(PERSALDATA!$G$2:$G$20871,PERSALDATA!$A$2:$A$20871,WORKING!A90,PERSALDATA!$D$2:$D$20871,WORKING!B90,PERSALDATA!$E$2:$E$20871,WORKING!C90,PERSALDATA!$F$2:$F$20871,"S&amp;W: BASIC SALARY (RES)")</f>
        <v>1</v>
      </c>
      <c r="AC90" s="2">
        <f>SUMIFS(PERSALDATA!$H$2:$H$20871,PERSALDATA!$A$2:$A$20871,WORKING!A90,PERSALDATA!$D$2:$D$20871,WORKING!B90,PERSALDATA!$E$2:$E$20871,WORKING!C90)</f>
        <v>167080.64000000001</v>
      </c>
    </row>
    <row r="91" spans="1:29" x14ac:dyDescent="0.25">
      <c r="A91" s="2">
        <f>Results!$D$3</f>
        <v>16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16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0.68503314318137665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5.7022520918771892E-2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6.601951350986647E-2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8.8867155518614335E-2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8.9053444654513286E-2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3.5855931337358581E-4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1.3645662903483759E-2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7.2226657150510742E-2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7.0672812197680554E-2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6.9672812197680553E-2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6.7672812197680551E-2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1.2671321574872182E-2</v>
      </c>
      <c r="AB92" s="2">
        <f>SUMIFS(PERSALDATA!$G$2:$G$20871,PERSALDATA!$A$2:$A$20871,WORKING!A92,PERSALDATA!$D$2:$D$20871,WORKING!B92,PERSALDATA!$E$2:$E$20871,WORKING!C92,PERSALDATA!$F$2:$F$20871,"S&amp;W: BASIC SALARY (RES)")</f>
        <v>3</v>
      </c>
      <c r="AC92" s="2">
        <f>SUMIFS(PERSALDATA!$H$2:$H$20871,PERSALDATA!$A$2:$A$20871,WORKING!A92,PERSALDATA!$D$2:$D$20871,WORKING!B92,PERSALDATA!$E$2:$E$20871,WORKING!C92)</f>
        <v>613454.99</v>
      </c>
    </row>
    <row r="93" spans="1:29" x14ac:dyDescent="0.25">
      <c r="A93" s="2">
        <f>Results!$D$3</f>
        <v>16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0.70726057930818398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5.886744896579281E-2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4.0713889604760821E-2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9.199127431981366E-2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9.1943071085084066E-2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0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2.9482887761195681E-4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0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0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8.9289078387527303E-3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7.419362223051558E-2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7.09727302187496E-2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6.9972730218749599E-2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6.7972730218749597E-2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1.3005000107967204E-2</v>
      </c>
      <c r="AB93" s="2">
        <f>SUMIFS(PERSALDATA!$G$2:$G$20871,PERSALDATA!$A$2:$A$20871,WORKING!A93,PERSALDATA!$D$2:$D$20871,WORKING!B93,PERSALDATA!$E$2:$E$20871,WORKING!C93,PERSALDATA!$F$2:$F$20871,"S&amp;W: BASIC SALARY (RES)")</f>
        <v>4</v>
      </c>
      <c r="AC93" s="2">
        <f>SUMIFS(PERSALDATA!$H$2:$H$20871,PERSALDATA!$A$2:$A$20871,WORKING!A93,PERSALDATA!$D$2:$D$20871,WORKING!B93,PERSALDATA!$E$2:$E$20871,WORKING!C93)</f>
        <v>994746.52</v>
      </c>
    </row>
    <row r="94" spans="1:29" x14ac:dyDescent="0.25">
      <c r="A94" s="2">
        <f>Results!$D$3</f>
        <v>16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0.75160821040365366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7.5222173106115994E-2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4.3854545193592789E-2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3.1336065929239938E-2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9.770834751776851E-2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0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2.7065784962914335E-4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7.3105759488296299E-2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7.0031495537002678E-2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6.9031495537002677E-2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6.7031495537002675E-2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1.3868080965413074E-2</v>
      </c>
      <c r="AB94" s="2">
        <f>SUMIFS(PERSALDATA!$G$2:$G$20871,PERSALDATA!$A$2:$A$20871,WORKING!A94,PERSALDATA!$D$2:$D$20871,WORKING!B94,PERSALDATA!$E$2:$E$20871,WORKING!C94,PERSALDATA!$F$2:$F$20871,"S&amp;W: BASIC SALARY (RES)")</f>
        <v>2</v>
      </c>
      <c r="AC94" s="2">
        <f>SUMIFS(PERSALDATA!$H$2:$H$20871,PERSALDATA!$A$2:$A$20871,WORKING!A94,PERSALDATA!$D$2:$D$20871,WORKING!B94,PERSALDATA!$E$2:$E$20871,WORKING!C94)</f>
        <v>451492.54</v>
      </c>
    </row>
    <row r="95" spans="1:29" x14ac:dyDescent="0.25">
      <c r="A95" s="2">
        <f>Results!$D$3</f>
        <v>16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0.74807453034241334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6.2103457551779602E-2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3.6546351891542928E-2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5.5821995199632032E-2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9.7249117035953611E-2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0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2.0454797867846769E-4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0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7.4003985189037585E-2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7.0471866409079043E-2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6.9471866409079056E-2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6.7471866409079054E-2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1.3611406573952198E-2</v>
      </c>
      <c r="AB95" s="2">
        <f>SUMIFS(PERSALDATA!$G$2:$G$20871,PERSALDATA!$A$2:$A$20871,WORKING!A95,PERSALDATA!$D$2:$D$20871,WORKING!B95,PERSALDATA!$E$2:$E$20871,WORKING!C95,PERSALDATA!$F$2:$F$20871,"S&amp;W: BASIC SALARY (RES)")</f>
        <v>3</v>
      </c>
      <c r="AC95" s="2">
        <f>SUMIFS(PERSALDATA!$H$2:$H$20871,PERSALDATA!$A$2:$A$20871,WORKING!A95,PERSALDATA!$D$2:$D$20871,WORKING!B95,PERSALDATA!$E$2:$E$20871,WORKING!C95)</f>
        <v>1075346.73</v>
      </c>
    </row>
    <row r="96" spans="1:29" x14ac:dyDescent="0.25">
      <c r="A96" s="2">
        <f>Results!$D$3</f>
        <v>16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0.79910051087344292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6.093594542335197E-2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1.604257092270206E-2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1.987496286534755E-2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0.10388264306792602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0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1.6336684722951595E-4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7.5059014089989509E-2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7.0137698733753195E-2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6.9137698733753208E-2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6.7137698733753207E-2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1.4458786490470813E-2</v>
      </c>
      <c r="AB96" s="2">
        <f>SUMIFS(PERSALDATA!$G$2:$G$20871,PERSALDATA!$A$2:$A$20871,WORKING!A96,PERSALDATA!$D$2:$D$20871,WORKING!B96,PERSALDATA!$E$2:$E$20871,WORKING!C96,PERSALDATA!$F$2:$F$20871,"S&amp;W: BASIC SALARY (RES)")</f>
        <v>1</v>
      </c>
      <c r="AC96" s="2">
        <f>SUMIFS(PERSALDATA!$H$2:$H$20871,PERSALDATA!$A$2:$A$20871,WORKING!A96,PERSALDATA!$D$2:$D$20871,WORKING!B96,PERSALDATA!$E$2:$E$20871,WORKING!C96)</f>
        <v>448805.87</v>
      </c>
    </row>
    <row r="97" spans="1:29" x14ac:dyDescent="0.25">
      <c r="A97" s="2">
        <f>Results!$D$3</f>
        <v>16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0.75230812500023714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6.4335619246052259E-2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1.5948594590155091E-2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0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2.5384756891044049E-2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9.7799701460924912E-2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2.7439744938762729E-3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1.4108330830543599E-4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2.9506224566421798E-3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3.5035453743673568E-2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3.3520688090890507E-3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0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7.5143293407622824E-2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7.0221285407464112E-2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6.9221285407464098E-2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6.722128540746411E-2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1.4377883478157431E-2</v>
      </c>
      <c r="AB97" s="2">
        <f>SUMIFS(PERSALDATA!$G$2:$G$20871,PERSALDATA!$A$2:$A$20871,WORKING!A97,PERSALDATA!$D$2:$D$20871,WORKING!B97,PERSALDATA!$E$2:$E$20871,WORKING!C97,PERSALDATA!$F$2:$F$20871,"S&amp;W: BASIC SALARY (RES)")</f>
        <v>10</v>
      </c>
      <c r="AC97" s="2">
        <f>SUMIFS(PERSALDATA!$H$2:$H$20871,PERSALDATA!$A$2:$A$20871,WORKING!A97,PERSALDATA!$D$2:$D$20871,WORKING!B97,PERSALDATA!$E$2:$E$20871,WORKING!C97)</f>
        <v>5586699.1600000001</v>
      </c>
    </row>
    <row r="98" spans="1:29" x14ac:dyDescent="0.25">
      <c r="A98" s="2">
        <f>Results!$D$3</f>
        <v>16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0.69365764944724162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5.7727675850233799E-2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0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3.2169203735957864E-2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9.0175243191220583E-2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0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1.1503345776045797E-4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0.11713231630912421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9.0228780084614553E-3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1.4515736442094224E-2</v>
      </c>
      <c r="AB98" s="2">
        <f>SUMIFS(PERSALDATA!$G$2:$G$20871,PERSALDATA!$A$2:$A$20871,WORKING!A98,PERSALDATA!$D$2:$D$20871,WORKING!B98,PERSALDATA!$E$2:$E$20871,WORKING!C98,PERSALDATA!$F$2:$F$20871,"S&amp;W: BASIC SALARY (RES)")</f>
        <v>3</v>
      </c>
      <c r="AC98" s="2">
        <f>SUMIFS(PERSALDATA!$H$2:$H$20871,PERSALDATA!$A$2:$A$20871,WORKING!A98,PERSALDATA!$D$2:$D$20871,WORKING!B98,PERSALDATA!$E$2:$E$20871,WORKING!C98)</f>
        <v>1912139.3399999999</v>
      </c>
    </row>
    <row r="99" spans="1:29" x14ac:dyDescent="0.25">
      <c r="A99" s="2">
        <f>Results!$D$3</f>
        <v>16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0.69729419954866112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3.7402489662961724E-2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4.2314987477082185E-2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3.847651907198752E-3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7.8649925632117701E-2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2.6289011013611594E-3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1.0215115507110719E-4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0.13775969351554634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1.4306028141909718E-2</v>
      </c>
      <c r="AB99" s="2">
        <f>SUMIFS(PERSALDATA!$G$2:$G$20871,PERSALDATA!$A$2:$A$20871,WORKING!A99,PERSALDATA!$D$2:$D$20871,WORKING!B99,PERSALDATA!$E$2:$E$20871,WORKING!C99,PERSALDATA!$F$2:$F$20871,"S&amp;W: BASIC SALARY (RES)")</f>
        <v>12</v>
      </c>
      <c r="AC99" s="2">
        <f>SUMIFS(PERSALDATA!$H$2:$H$20871,PERSALDATA!$A$2:$A$20871,WORKING!A99,PERSALDATA!$D$2:$D$20871,WORKING!B99,PERSALDATA!$E$2:$E$20871,WORKING!C99)</f>
        <v>8493491.8200000003</v>
      </c>
    </row>
    <row r="100" spans="1:29" x14ac:dyDescent="0.25">
      <c r="A100" s="2">
        <f>Results!$D$3</f>
        <v>16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0.69994617316653884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5.4366335888128038E-2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1.410169167924105E-2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1.6519346647402001E-2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9.0992768908653932E-2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0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7.7184217894302412E-5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0.12399649949214185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1.4539526661831937E-2</v>
      </c>
      <c r="AB100" s="2">
        <f>SUMIFS(PERSALDATA!$G$2:$G$20871,PERSALDATA!$A$2:$A$20871,WORKING!A100,PERSALDATA!$D$2:$D$20871,WORKING!B100,PERSALDATA!$E$2:$E$20871,WORKING!C100,PERSALDATA!$F$2:$F$20871,"S&amp;W: BASIC SALARY (RES)")</f>
        <v>1</v>
      </c>
      <c r="AC100" s="2">
        <f>SUMIFS(PERSALDATA!$H$2:$H$20871,PERSALDATA!$A$2:$A$20871,WORKING!A100,PERSALDATA!$D$2:$D$20871,WORKING!B100,PERSALDATA!$E$2:$E$20871,WORKING!C100)</f>
        <v>1029096.3899999998</v>
      </c>
    </row>
    <row r="101" spans="1:29" x14ac:dyDescent="0.25">
      <c r="A101" s="2">
        <f>Results!$D$3</f>
        <v>16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16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16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16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16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16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16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16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16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16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16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16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16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16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16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16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16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16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16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16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16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16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16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16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16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16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16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16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16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16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16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16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16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16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16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16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16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16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16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16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16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16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16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16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16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16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16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16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16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16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16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16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16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16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16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16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16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16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16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16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16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16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16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16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16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16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16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16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16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16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16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16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16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16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16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16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16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16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16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16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16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16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16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16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16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16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16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16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16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16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16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16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16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16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16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16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16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16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16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16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16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16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16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16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16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16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16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16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16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16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16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16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16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16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16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16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16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16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16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16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16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16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16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16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16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16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16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16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16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16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16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16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16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16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16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16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16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16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16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16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16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16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16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16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16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16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16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16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16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16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16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16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16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16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16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16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16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16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16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16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16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16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16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16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16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16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16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16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16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16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16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16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16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16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16</v>
      </c>
      <c r="E3" s="74" t="str">
        <f>INDEX(MAPs!$I$7:$J$54,MATCH(Results!$D$3,MAPs!$I$7:$I$54,0),2)</f>
        <v>Health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947.54347826086951</v>
      </c>
      <c r="N9" s="148">
        <f>IFERROR(SUMIFS('Employee Profile (2)'!C$4:C$50,'Employee Profile (2)'!$B$4:$B$50,Results!$D$3),"")</f>
        <v>0.41889632107023411</v>
      </c>
      <c r="O9" s="150" t="s">
        <v>620</v>
      </c>
      <c r="P9" s="143">
        <f>IFERROR(INDEX('Employee Profile (2)'!$AC$4:$AC$50,MATCH(Results!$D$3,'Employee Profile (2)'!$B$4:$B$50,0))*$Q9,"")</f>
        <v>1559.3804347826087</v>
      </c>
      <c r="Q9" s="148">
        <f>IFERROR(SUMIFS('Employee Profile (2)'!J$4:J$50,'Employee Profile (2)'!$B$4:$B$50,Results!$D$3),"")</f>
        <v>0.68938127090301005</v>
      </c>
      <c r="R9" s="150" t="s">
        <v>627</v>
      </c>
      <c r="S9" s="144">
        <f>IFERROR(INDEX('Employee Profile (2)'!$AC$4:$AC$50,MATCH(Results!$D$3,'Employee Profile (2)'!$B$4:$B$50,0))*$T9,"")</f>
        <v>26.478260869565215</v>
      </c>
      <c r="T9" s="147">
        <f>IFERROR(SUMIFS('Employee Profile (2)'!N$4:N$50,'Employee Profile (2)'!$B$4:$B$50,Results!$D$3),"")</f>
        <v>1.1705685618729096E-2</v>
      </c>
      <c r="U9" s="150" t="s">
        <v>632</v>
      </c>
      <c r="V9" s="144">
        <f>IFERROR(INDEX('Employee Profile (2)'!$AC$4:$AC$50,MATCH(Results!$D$3,'Employee Profile (2)'!$B$4:$B$50,0))*$W9,"")</f>
        <v>1327.6956521739132</v>
      </c>
      <c r="W9" s="147">
        <f>IFERROR(SUMIFS('Employee Profile (2)'!S$4:S$50,'Employee Profile (2)'!$B$4:$B$50,Results!$D$3),"")</f>
        <v>0.58695652173913049</v>
      </c>
      <c r="X9" s="150" t="s">
        <v>635</v>
      </c>
      <c r="Y9" s="144">
        <f>IFERROR(INDEX('Employee Profile (2)'!$AC$4:$AC$50,MATCH(Results!$D$3,'Employee Profile (2)'!$B$4:$B$50,0))*$Z9,"")</f>
        <v>1841.1847826086955</v>
      </c>
      <c r="Z9" s="147">
        <f>IFERROR(SUMIFS('Employee Profile (2)'!V$4:V$50,'Employee Profile (2)'!$B$4:$B$50,Results!$D$3),"")</f>
        <v>0.81396321070234112</v>
      </c>
      <c r="AA9" s="150" t="s">
        <v>675</v>
      </c>
      <c r="AB9" s="144">
        <f>IFERROR(SUMIFS('Employee Profile (2)'!$AD$4:$AD$50,'Employee Profile (2)'!$B$4:$B$50,Results!$D$3),"")</f>
        <v>456</v>
      </c>
      <c r="AC9" s="147">
        <f>IFERROR(SUMIFS('Employee Profile (2)'!$AE$4:$AE$50,'Employee Profile (2)'!$B$4:$B$50,Results!$D$3),"")</f>
        <v>0.20159151193633953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804.75</v>
      </c>
      <c r="N10" s="148">
        <f>IFERROR(SUMIFS('Employee Profile (2)'!D$4:D$50,'Employee Profile (2)'!$B$4:$B$50,Results!$D$3),"")</f>
        <v>0.35576923076923078</v>
      </c>
      <c r="O10" s="150" t="s">
        <v>621</v>
      </c>
      <c r="P10" s="143">
        <f>IFERROR(INDEX('Employee Profile (2)'!$AC$4:$AC$50,MATCH(Results!$D$3,'Employee Profile (2)'!$B$4:$B$50,0))*$Q10,"")</f>
        <v>399.06521739130432</v>
      </c>
      <c r="Q10" s="148">
        <f>IFERROR(SUMIFS('Employee Profile (2)'!K$4:K$50,'Employee Profile (2)'!$B$4:$B$50,Results!$D$3),"")</f>
        <v>0.17642140468227424</v>
      </c>
      <c r="R10" s="150" t="s">
        <v>628</v>
      </c>
      <c r="S10" s="144">
        <f>IFERROR(INDEX('Employee Profile (2)'!$AC$4:$AC$50,MATCH(Results!$D$3,'Employee Profile (2)'!$B$4:$B$50,0))*$T10,"")</f>
        <v>463.36956521739131</v>
      </c>
      <c r="T10" s="147">
        <f>IFERROR(SUMIFS('Employee Profile (2)'!O$4:O$50,'Employee Profile (2)'!$B$4:$B$50,Results!$D$3),"")</f>
        <v>0.2048494983277592</v>
      </c>
      <c r="U10" s="150" t="s">
        <v>633</v>
      </c>
      <c r="V10" s="144">
        <f>IFERROR(INDEX('Employee Profile (2)'!$AC$4:$AC$50,MATCH(Results!$D$3,'Employee Profile (2)'!$B$4:$B$50,0))*$W10,"")</f>
        <v>796.23913043478262</v>
      </c>
      <c r="W10" s="147">
        <f>IFERROR(SUMIFS('Employee Profile (2)'!T$4:T$50,'Employee Profile (2)'!$B$4:$B$50,Results!$D$3),"")</f>
        <v>0.35200668896321069</v>
      </c>
      <c r="X10" s="150" t="s">
        <v>636</v>
      </c>
      <c r="Y10" s="144">
        <f>IFERROR(INDEX('Employee Profile (2)'!$AC$4:$AC$50,MATCH(Results!$D$3,'Employee Profile (2)'!$B$4:$B$50,0))*$Z10,"")</f>
        <v>68.086956521739125</v>
      </c>
      <c r="Z10" s="147">
        <f>IFERROR(SUMIFS('Employee Profile (2)'!W$4:W$50,'Employee Profile (2)'!$B$4:$B$50,Results!$D$3),"")</f>
        <v>3.0100334448160536E-2</v>
      </c>
      <c r="AA10" s="150" t="s">
        <v>676</v>
      </c>
      <c r="AB10" s="144">
        <f>IFERROR(INDEX('Employee Profile (2)'!$AC$4:$AC$50,MATCH(Results!$D$3,'Employee Profile (2)'!$B$4:$B$50))-$AB$9,"")</f>
        <v>1806</v>
      </c>
      <c r="AC10" s="147">
        <f>IFERROR(100%-$AC$9,"")</f>
        <v>0.79840848806366049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159.81521739130434</v>
      </c>
      <c r="N11" s="148">
        <f>IFERROR(SUMIFS('Employee Profile (2)'!E$4:E$50,'Employee Profile (2)'!$B$4:$B$50,Results!$D$3),"")</f>
        <v>7.0652173913043473E-2</v>
      </c>
      <c r="O11" s="150" t="s">
        <v>622</v>
      </c>
      <c r="P11" s="143">
        <f>IFERROR(INDEX('Employee Profile (2)'!$AC$4:$AC$50,MATCH(Results!$D$3,'Employee Profile (2)'!$B$4:$B$50,0))*$Q11,"")</f>
        <v>220.33695652173915</v>
      </c>
      <c r="Q11" s="148">
        <f>IFERROR(SUMIFS('Employee Profile (2)'!L$4:L$50,'Employee Profile (2)'!$B$4:$B$50,Results!$D$3),"")</f>
        <v>9.7408026755852847E-2</v>
      </c>
      <c r="R11" s="150" t="s">
        <v>629</v>
      </c>
      <c r="S11" s="144">
        <f>IFERROR(INDEX('Employee Profile (2)'!$AC$4:$AC$50,MATCH(Results!$D$3,'Employee Profile (2)'!$B$4:$B$50,0))*$T11,"")</f>
        <v>1121.5434782608695</v>
      </c>
      <c r="T11" s="147">
        <f>IFERROR(SUMIFS('Employee Profile (2)'!P$4:P$50,'Employee Profile (2)'!$B$4:$B$50,Results!$D$3),"")</f>
        <v>0.49581939799331104</v>
      </c>
      <c r="U11" s="150" t="s">
        <v>53</v>
      </c>
      <c r="V11" s="144">
        <f>IFERROR(INDEX('Employee Profile (2)'!$AC$4:$AC$50,MATCH(Results!$D$3,'Employee Profile (2)'!$B$4:$B$50,0))*$W11,"")</f>
        <v>138.06521739130434</v>
      </c>
      <c r="W11" s="147">
        <f>IFERROR(SUMIFS('Employee Profile (2)'!U$4:U$50,'Employee Profile (2)'!$B$4:$B$50,Results!$D$3),"")</f>
        <v>6.1036789297658864E-2</v>
      </c>
      <c r="X11" s="150" t="s">
        <v>637</v>
      </c>
      <c r="Y11" s="144">
        <f>IFERROR(INDEX('Employee Profile (2)'!$AC$4:$AC$50,MATCH(Results!$D$3,'Employee Profile (2)'!$B$4:$B$50,0))*$Z11,"")</f>
        <v>52.010869565217391</v>
      </c>
      <c r="Z11" s="147">
        <f>IFERROR(SUMIFS('Employee Profile (2)'!X$4:X$50,'Employee Profile (2)'!$B$4:$B$50,Results!$D$3),"")</f>
        <v>2.2993311036789296E-2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8</v>
      </c>
      <c r="H12" s="158">
        <v>14</v>
      </c>
      <c r="I12" s="158">
        <v>16</v>
      </c>
      <c r="J12" s="158">
        <v>6</v>
      </c>
      <c r="L12" s="150" t="s">
        <v>659</v>
      </c>
      <c r="M12" s="143">
        <f>IFERROR(INDEX('Employee Profile (2)'!$AC$4:$AC$50,MATCH(Results!$D$3,'Employee Profile (2)'!$B$4:$B$50,0))*$N12,"")</f>
        <v>144.68478260869566</v>
      </c>
      <c r="N12" s="148">
        <f>IFERROR(SUMIFS('Employee Profile (2)'!F$4:F$50,'Employee Profile (2)'!$B$4:$B$50,Results!$D$3),"")</f>
        <v>6.3963210702341136E-2</v>
      </c>
      <c r="O12" s="150" t="s">
        <v>623</v>
      </c>
      <c r="P12" s="143">
        <f>IFERROR(INDEX('Employee Profile (2)'!$AC$4:$AC$50,MATCH(Results!$D$3,'Employee Profile (2)'!$B$4:$B$50,0))*$Q12,"")</f>
        <v>83.217391304347828</v>
      </c>
      <c r="Q12" s="148">
        <f>IFERROR(SUMIFS('Employee Profile (2)'!M$4:M$50,'Employee Profile (2)'!$B$4:$B$50,Results!$D$3),"")</f>
        <v>3.678929765886288E-2</v>
      </c>
      <c r="R12" s="150" t="s">
        <v>630</v>
      </c>
      <c r="S12" s="144">
        <f>IFERROR(INDEX('Employee Profile (2)'!$AC$4:$AC$50,MATCH(Results!$D$3,'Employee Profile (2)'!$B$4:$B$50,0))*$T12,"")</f>
        <v>103.07608695652173</v>
      </c>
      <c r="T12" s="147">
        <f>IFERROR(SUMIFS('Employee Profile (2)'!Q$4:Q$50,'Employee Profile (2)'!$B$4:$B$50,Results!$D$3),"")</f>
        <v>4.5568561872909696E-2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162.65217391304347</v>
      </c>
      <c r="Z12" s="147">
        <f>IFERROR(SUMIFS('Employee Profile (2)'!Y$4:Y$50,'Employee Profile (2)'!$B$4:$B$50,Results!$D$3),"")</f>
        <v>7.1906354515050161E-2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10</v>
      </c>
      <c r="H13" s="158">
        <v>42</v>
      </c>
      <c r="I13" s="158">
        <v>13</v>
      </c>
      <c r="J13" s="158">
        <v>6</v>
      </c>
      <c r="L13" s="150" t="s">
        <v>660</v>
      </c>
      <c r="M13" s="143">
        <f>IFERROR(INDEX('Employee Profile (2)'!$AC$4:$AC$50,MATCH(Results!$D$3,'Employee Profile (2)'!$B$4:$B$50,0))*$N13,"")</f>
        <v>63.358695652173907</v>
      </c>
      <c r="N13" s="148">
        <f>IFERROR(SUMIFS('Employee Profile (2)'!G$4:G$50,'Employee Profile (2)'!$B$4:$B$50,Results!$D$3),"")</f>
        <v>2.8010033444816052E-2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547.53260869565213</v>
      </c>
      <c r="T13" s="147">
        <f>IFERROR(SUMIFS('Employee Profile (2)'!R$4:R$50,'Employee Profile (2)'!$B$4:$B$50,Results!$D$3),"")</f>
        <v>0.24205685618729098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138.06521739130434</v>
      </c>
      <c r="Z13" s="147">
        <f>IFERROR(SUMIFS('Employee Profile (2)'!Z$4:Z$50,'Employee Profile (2)'!$B$4:$B$50,Results!$D$3),"")</f>
        <v>6.1036789297658864E-2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208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4.7282608695652169</v>
      </c>
      <c r="N14" s="148">
        <f>IFERROR(SUMIFS('Employee Profile (2)'!H$4:H$50,'Employee Profile (2)'!$B$4:$B$50,Results!$D$3),"")</f>
        <v>2.0903010033444815E-3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18</v>
      </c>
      <c r="H15" s="112">
        <f t="shared" ref="H15:J15" si="0">SUM(H9:H14)</f>
        <v>264</v>
      </c>
      <c r="I15" s="112">
        <f t="shared" si="0"/>
        <v>29</v>
      </c>
      <c r="J15" s="112">
        <f t="shared" si="0"/>
        <v>12</v>
      </c>
      <c r="L15" s="150" t="s">
        <v>53</v>
      </c>
      <c r="M15" s="143">
        <f>IFERROR(INDEX('Employee Profile (2)'!$AC$4:$AC$50,MATCH(Results!$D$3,'Employee Profile (2)'!$B$4:$B$50,0))*$N15,"")</f>
        <v>137.11956521739131</v>
      </c>
      <c r="N15" s="148">
        <f>IFERROR(SUMIFS('Employee Profile (2)'!I$4:I$50,'Employee Profile (2)'!$B$4:$B$50,Results!$D$3),"")</f>
        <v>6.0618729096989968E-2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54</v>
      </c>
      <c r="H16" s="82">
        <f>SUMIFS($W$64:$W$509,$C$64:$C$509,"Total")</f>
        <v>264</v>
      </c>
      <c r="I16" s="82">
        <f>SUMIFS($AE$64:$AE$509,$C$64:$C$509,"Total")</f>
        <v>22</v>
      </c>
      <c r="J16" s="82">
        <f>SUMIFS($AM$64:$AM$509,$C$64:$C$509,"Total")</f>
        <v>12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36</v>
      </c>
      <c r="H17" s="80">
        <f t="shared" ref="H17:J17" si="1">H16-H15</f>
        <v>0</v>
      </c>
      <c r="I17" s="80">
        <f t="shared" si="1"/>
        <v>-7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448</v>
      </c>
      <c r="G29" s="87">
        <f t="shared" ref="G29:G44" si="4">SUMIFS($K$64:$K$509,$A$64:$A$509,B29,$C$64:$C$509,"Total")</f>
        <v>396.71580133928575</v>
      </c>
      <c r="H29" s="83">
        <f t="shared" ref="H29:H44" si="5">SUMIFS($J$64:$J$509,$A$64:$A$509,B29,$C$64:$C$509,"Total")</f>
        <v>177728.679</v>
      </c>
      <c r="I29" s="21">
        <f t="shared" ref="I29:I44" si="6">-SUMIFS($O$64:$O$509,$A$64:$A$509,$B29,$C$64:$C$509,"Total")+SUMIFS($N$64:$N$509,$A$64:$A$509,$B29,$C$64:$C$509,"Total")</f>
        <v>24</v>
      </c>
      <c r="J29" s="88">
        <f t="shared" ref="J29:J44" si="7">SUMIFS($P$64:$P$509,$A$64:$A$509,$B29,$C$64:$C$509,"Total")</f>
        <v>472</v>
      </c>
      <c r="K29" s="88">
        <f t="shared" ref="K29:K44" si="8">SUMIFS($M$64:$M$509,$A$64:$A$509,$B29,$C$64:$C$509,"Total")</f>
        <v>434.93505258247524</v>
      </c>
      <c r="L29" s="88">
        <f t="shared" ref="L29:L44" si="9">SUMIFS($R$64:$R$509,$A$64:$A$509,$B29,$C$64:$C$509,"Total")+SUMIFS($Q$64:$Q$509,$A$64:$A$509,$B29,$C$64:$C$509,"Total")</f>
        <v>13623.954568156802</v>
      </c>
      <c r="M29" s="88">
        <f t="shared" ref="M29:M44" si="10">SUMIFS($S$64:$S$509,$A$64:$A$509,$B29,$C$64:$C$509,"Total")</f>
        <v>205289.34481892831</v>
      </c>
      <c r="N29" s="88">
        <f t="shared" ref="N29:N44" si="11">SUMIFS($S$64:$S$509,$A$64:$A$509,$B29,$C$64:$C$509,"Compensation Budget")</f>
        <v>192521</v>
      </c>
      <c r="O29" s="89">
        <f t="shared" ref="O29:O44" si="12">SUMIFS($S$64:$S$509,$A$64:$A$509,$B29,$C$64:$C$509,"Under/(Over)")</f>
        <v>-12768.344818928308</v>
      </c>
      <c r="P29" s="21">
        <f t="shared" ref="P29:P44" si="13">-SUMIFS($W$64:$W$509,$A$64:$A$509,$B29,$C$64:$C$509,"Total")+SUMIFS($V$64:$V$509,$A$64:$A$509,$B29,$C$64:$C$509,"Total")</f>
        <v>-4</v>
      </c>
      <c r="Q29" s="88">
        <f t="shared" ref="Q29:Q44" si="14">SUMIFS($X$64:$X$509,$A$64:$A$509,$B29,$C$64:$C$509,"Total")</f>
        <v>468</v>
      </c>
      <c r="R29" s="88">
        <f t="shared" ref="R29:R44" si="15">SUMIFS($U$64:$U$509,$A$64:$A$509,$B29,$C$64:$C$509,"Total")</f>
        <v>473.20226924977271</v>
      </c>
      <c r="S29" s="88">
        <f t="shared" ref="S29:S44" si="16">SUMIFS($Z$64:$Z$509,$A$64:$A$509,$B29,$C$64:$C$509,"Total")+SUMIFS($Y$64:$Y$509,$A$64:$A$509,$B29,$C$64:$C$509,"Total")</f>
        <v>-739.68917546336047</v>
      </c>
      <c r="T29" s="88">
        <f t="shared" ref="T29:T44" si="17">SUMIFS($AA$64:$AA$509,$A$64:$A$509,$B29,$C$64:$C$509,"Total")</f>
        <v>221458.66200889362</v>
      </c>
      <c r="U29" s="88">
        <f t="shared" ref="U29:U44" si="18">SUMIFS($AA$64:$AA$509,$A$64:$A$509,$B29,$C$64:$C$509,"Compensation Budget")</f>
        <v>188973</v>
      </c>
      <c r="V29" s="89">
        <f t="shared" ref="V29:V44" si="19">SUMIFS($AA$64:$AA$509,$A$64:$A$509,$B29,$C$64:$C$509,"Under/(Over)")</f>
        <v>-32485.662008893618</v>
      </c>
      <c r="W29" s="21">
        <f t="shared" ref="W29:W44" si="20">-SUMIFS($AE$64:$AE$509,$A$64:$A$509,$B29,$C$64:$C$509,"Total")+SUMIFS($AD$64:$AD$509,$A$64:$A$509,$B29,$C$64:$C$509,"Total")</f>
        <v>-9</v>
      </c>
      <c r="X29" s="88">
        <f t="shared" ref="X29:X44" si="21">SUMIFS($AF$64:$AF$509,$A$64:$A$509,$B29,$C$64:$C$509,"Total")</f>
        <v>459</v>
      </c>
      <c r="Y29" s="88">
        <f t="shared" ref="Y29:Y44" si="22">SUMIFS($AC$64:$AC$509,$A$64:$A$509,$B29,$C$64:$C$509,"Total")</f>
        <v>513.88817893855867</v>
      </c>
      <c r="Z29" s="88">
        <f t="shared" ref="Z29:Z44" si="23">SUMIFS($AH$64:$AH$509,$A$64:$A$509,$B29,$C$64:$C$509,"Total")+SUMIFS($AG$64:$AG$509,$A$64:$A$509,$B29,$C$64:$C$509,"Total")</f>
        <v>-3603.080333729255</v>
      </c>
      <c r="AA29" s="88">
        <f t="shared" ref="AA29:AA44" si="24">SUMIFS($AI$64:$AI$509,$A$64:$A$509,$B29,$C$64:$C$509,"Total")</f>
        <v>235874.67413279842</v>
      </c>
      <c r="AB29" s="88">
        <f t="shared" ref="AB29:AB44" si="25">SUMIFS($AI$64:$AI$509,$A$64:$A$509,$B29,$C$64:$C$509,"Compensation Budget")</f>
        <v>204939</v>
      </c>
      <c r="AC29" s="89">
        <f t="shared" ref="AC29:AC44" si="26">SUMIFS($AI$64:$AI$509,$A$64:$A$509,$B29,$C$64:$C$509,"Under/(Over)")</f>
        <v>-30935.67413279842</v>
      </c>
      <c r="AD29" s="21">
        <f t="shared" ref="AD29:AD44" si="27">-SUMIFS($AM$64:$AM$509,$A$64:$A$509,$B29,$C$64:$C$509,"Total")+SUMIFS($AL$64:$AL$509,$A$64:$A$509,$B29,$C$64:$C$509,"Total")</f>
        <v>-7</v>
      </c>
      <c r="AE29" s="88">
        <f t="shared" ref="AE29:AE44" si="28">SUMIFS($AN$64:$AN$509,$A$64:$A$509,$B29,$C$64:$C$509,"Total")</f>
        <v>452</v>
      </c>
      <c r="AF29" s="88">
        <f t="shared" ref="AF29:AF44" si="29">SUMIFS($AK$64:$AK$509,$A$64:$A$509,$B29,$C$64:$C$509,"Total")</f>
        <v>550.00771774706857</v>
      </c>
      <c r="AG29" s="88">
        <f t="shared" ref="AG29:AG44" si="30">SUMIFS($AP$64:$AP$509,$A$64:$A$509,$B29,$C$64:$C$509,"Total")+SUMIFS($AO$64:$AO$509,$A$64:$A$509,$B29,$C$64:$C$509,"Total")</f>
        <v>-5981.6601985584248</v>
      </c>
      <c r="AH29" s="88">
        <f t="shared" ref="AH29:AH44" si="31">SUMIFS($AQ$64:$AQ$509,$A$64:$A$509,$B29,$C$64:$C$509,"Total")</f>
        <v>248603.48842167499</v>
      </c>
      <c r="AI29" s="88">
        <f t="shared" ref="AI29:AI44" si="32">SUMIFS($AQ$64:$AQ$509,$A$64:$A$509,$B29,$C$64:$C$509,"Compensation Budget")</f>
        <v>220514.364</v>
      </c>
      <c r="AJ29" s="89">
        <f t="shared" ref="AJ29:AJ44" si="33">SUMIFS($AQ$64:$AQ$509,$A$64:$A$509,$B29,$C$64:$C$509,"Under/(Over)")</f>
        <v>-28089.124421674991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National Health Insurance, Health Planning and Systems Enablement</v>
      </c>
      <c r="D30" s="222">
        <f t="shared" si="2"/>
        <v>0</v>
      </c>
      <c r="E30" s="223">
        <f t="shared" si="2"/>
        <v>0</v>
      </c>
      <c r="F30" s="80">
        <f t="shared" si="3"/>
        <v>177</v>
      </c>
      <c r="G30" s="155">
        <f t="shared" si="4"/>
        <v>556.11864406779659</v>
      </c>
      <c r="H30" s="155">
        <f t="shared" si="5"/>
        <v>98433</v>
      </c>
      <c r="I30" s="23">
        <f t="shared" si="6"/>
        <v>7</v>
      </c>
      <c r="J30" s="22">
        <f t="shared" si="7"/>
        <v>184</v>
      </c>
      <c r="K30" s="22">
        <f t="shared" si="8"/>
        <v>595.46642233816385</v>
      </c>
      <c r="L30" s="22">
        <f t="shared" si="9"/>
        <v>4018.3732985391653</v>
      </c>
      <c r="M30" s="22">
        <f t="shared" si="10"/>
        <v>109565.82171022214</v>
      </c>
      <c r="N30" s="22">
        <f t="shared" si="11"/>
        <v>97271</v>
      </c>
      <c r="O30" s="91">
        <f t="shared" si="12"/>
        <v>-12294.821710222139</v>
      </c>
      <c r="P30" s="23">
        <f t="shared" si="13"/>
        <v>-1</v>
      </c>
      <c r="Q30" s="22">
        <f t="shared" si="14"/>
        <v>183</v>
      </c>
      <c r="R30" s="22">
        <f t="shared" si="15"/>
        <v>638.67901524956585</v>
      </c>
      <c r="S30" s="22">
        <f t="shared" si="16"/>
        <v>-1114.1890073907309</v>
      </c>
      <c r="T30" s="22">
        <f t="shared" si="17"/>
        <v>116878.25979067055</v>
      </c>
      <c r="U30" s="22">
        <f t="shared" si="18"/>
        <v>95413</v>
      </c>
      <c r="V30" s="91">
        <f t="shared" si="19"/>
        <v>-21465.259790670549</v>
      </c>
      <c r="W30" s="23">
        <f t="shared" si="20"/>
        <v>-5</v>
      </c>
      <c r="X30" s="22">
        <f t="shared" si="21"/>
        <v>178</v>
      </c>
      <c r="Y30" s="22">
        <f t="shared" si="22"/>
        <v>672.46558152070736</v>
      </c>
      <c r="Z30" s="22">
        <f t="shared" si="23"/>
        <v>-6061.0531010401764</v>
      </c>
      <c r="AA30" s="22">
        <f t="shared" si="24"/>
        <v>119698.87351068591</v>
      </c>
      <c r="AB30" s="22">
        <f t="shared" si="25"/>
        <v>112946</v>
      </c>
      <c r="AC30" s="91">
        <f t="shared" si="26"/>
        <v>-6752.8735106859094</v>
      </c>
      <c r="AD30" s="23">
        <f t="shared" si="27"/>
        <v>-2</v>
      </c>
      <c r="AE30" s="22">
        <f t="shared" si="28"/>
        <v>176</v>
      </c>
      <c r="AF30" s="22">
        <f t="shared" si="29"/>
        <v>719.75448030311645</v>
      </c>
      <c r="AG30" s="22">
        <f t="shared" si="30"/>
        <v>-1911.619236591933</v>
      </c>
      <c r="AH30" s="22">
        <f t="shared" si="31"/>
        <v>126676.7885333485</v>
      </c>
      <c r="AI30" s="22">
        <f t="shared" si="32"/>
        <v>121529.89600000001</v>
      </c>
      <c r="AJ30" s="91">
        <f t="shared" si="33"/>
        <v>-5146.8925333484949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HIV and AIDS, Tuberculosis, and Maternal and Child Health</v>
      </c>
      <c r="D31" s="222">
        <f t="shared" si="2"/>
        <v>0</v>
      </c>
      <c r="E31" s="223">
        <f t="shared" si="2"/>
        <v>0</v>
      </c>
      <c r="F31" s="80">
        <f t="shared" si="3"/>
        <v>122</v>
      </c>
      <c r="G31" s="155">
        <f t="shared" si="4"/>
        <v>584.79508196721315</v>
      </c>
      <c r="H31" s="155">
        <f t="shared" si="5"/>
        <v>71345</v>
      </c>
      <c r="I31" s="23">
        <f t="shared" si="6"/>
        <v>10</v>
      </c>
      <c r="J31" s="22">
        <f t="shared" si="7"/>
        <v>132</v>
      </c>
      <c r="K31" s="22">
        <f t="shared" si="8"/>
        <v>622.59199013065393</v>
      </c>
      <c r="L31" s="22">
        <f t="shared" si="9"/>
        <v>5271.8400719791698</v>
      </c>
      <c r="M31" s="22">
        <f t="shared" si="10"/>
        <v>82182.142697246323</v>
      </c>
      <c r="N31" s="22">
        <f t="shared" si="11"/>
        <v>75779</v>
      </c>
      <c r="O31" s="91">
        <f t="shared" si="12"/>
        <v>-6403.1426972463232</v>
      </c>
      <c r="P31" s="23">
        <f t="shared" si="13"/>
        <v>0</v>
      </c>
      <c r="Q31" s="22">
        <f t="shared" si="14"/>
        <v>132</v>
      </c>
      <c r="R31" s="22">
        <f t="shared" si="15"/>
        <v>673.02891114654699</v>
      </c>
      <c r="S31" s="22">
        <f t="shared" si="16"/>
        <v>0</v>
      </c>
      <c r="T31" s="22">
        <f t="shared" si="17"/>
        <v>88839.8162713442</v>
      </c>
      <c r="U31" s="22">
        <f t="shared" si="18"/>
        <v>77590</v>
      </c>
      <c r="V31" s="91">
        <f t="shared" si="19"/>
        <v>-11249.8162713442</v>
      </c>
      <c r="W31" s="23">
        <f t="shared" si="20"/>
        <v>-4</v>
      </c>
      <c r="X31" s="22">
        <f t="shared" si="21"/>
        <v>128</v>
      </c>
      <c r="Y31" s="22">
        <f t="shared" si="22"/>
        <v>723.52788103941009</v>
      </c>
      <c r="Z31" s="22">
        <f t="shared" si="23"/>
        <v>-3340.4446176338824</v>
      </c>
      <c r="AA31" s="22">
        <f t="shared" si="24"/>
        <v>92611.568773044492</v>
      </c>
      <c r="AB31" s="22">
        <f t="shared" si="25"/>
        <v>83236</v>
      </c>
      <c r="AC31" s="91">
        <f t="shared" si="26"/>
        <v>-9375.5687730444915</v>
      </c>
      <c r="AD31" s="23">
        <f t="shared" si="27"/>
        <v>0</v>
      </c>
      <c r="AE31" s="22">
        <f t="shared" si="28"/>
        <v>128</v>
      </c>
      <c r="AF31" s="22">
        <f t="shared" si="29"/>
        <v>779.91237154256703</v>
      </c>
      <c r="AG31" s="22">
        <f t="shared" si="30"/>
        <v>0</v>
      </c>
      <c r="AH31" s="22">
        <f t="shared" si="31"/>
        <v>99828.78355744858</v>
      </c>
      <c r="AI31" s="22">
        <f t="shared" si="32"/>
        <v>89561.936000000002</v>
      </c>
      <c r="AJ31" s="91">
        <f t="shared" si="33"/>
        <v>-10266.847557448578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Primary Health Care Services</v>
      </c>
      <c r="D32" s="222">
        <f t="shared" si="2"/>
        <v>0</v>
      </c>
      <c r="E32" s="223">
        <f t="shared" si="2"/>
        <v>0</v>
      </c>
      <c r="F32" s="80">
        <f t="shared" si="3"/>
        <v>404</v>
      </c>
      <c r="G32" s="155">
        <f t="shared" si="4"/>
        <v>415.16336633663366</v>
      </c>
      <c r="H32" s="155">
        <f t="shared" si="5"/>
        <v>167726</v>
      </c>
      <c r="I32" s="23">
        <f t="shared" si="6"/>
        <v>40</v>
      </c>
      <c r="J32" s="22">
        <f t="shared" si="7"/>
        <v>444</v>
      </c>
      <c r="K32" s="22">
        <f t="shared" si="8"/>
        <v>451.28390091314418</v>
      </c>
      <c r="L32" s="22">
        <f t="shared" si="9"/>
        <v>18286.307207934668</v>
      </c>
      <c r="M32" s="22">
        <f t="shared" si="10"/>
        <v>200370.05200543601</v>
      </c>
      <c r="N32" s="22">
        <f t="shared" si="11"/>
        <v>215633</v>
      </c>
      <c r="O32" s="91">
        <f t="shared" si="12"/>
        <v>15262.947994563991</v>
      </c>
      <c r="P32" s="23">
        <f t="shared" si="13"/>
        <v>-8</v>
      </c>
      <c r="Q32" s="22">
        <f t="shared" si="14"/>
        <v>436</v>
      </c>
      <c r="R32" s="22">
        <f t="shared" si="15"/>
        <v>490.95936379690266</v>
      </c>
      <c r="S32" s="22">
        <f t="shared" si="16"/>
        <v>-3190.0799465959817</v>
      </c>
      <c r="T32" s="22">
        <f t="shared" si="17"/>
        <v>214058.28261544957</v>
      </c>
      <c r="U32" s="22">
        <f t="shared" si="18"/>
        <v>211609</v>
      </c>
      <c r="V32" s="91">
        <f t="shared" si="19"/>
        <v>-2449.2826154495706</v>
      </c>
      <c r="W32" s="23">
        <f t="shared" si="20"/>
        <v>-1</v>
      </c>
      <c r="X32" s="22">
        <f t="shared" si="21"/>
        <v>435</v>
      </c>
      <c r="Y32" s="22">
        <f t="shared" si="22"/>
        <v>531.3646827334278</v>
      </c>
      <c r="Z32" s="22">
        <f t="shared" si="23"/>
        <v>-726.61738596858618</v>
      </c>
      <c r="AA32" s="22">
        <f t="shared" si="24"/>
        <v>231143.63698904109</v>
      </c>
      <c r="AB32" s="22">
        <f t="shared" si="25"/>
        <v>229425</v>
      </c>
      <c r="AC32" s="91">
        <f t="shared" si="26"/>
        <v>-1718.6369890410861</v>
      </c>
      <c r="AD32" s="23">
        <f t="shared" si="27"/>
        <v>-1</v>
      </c>
      <c r="AE32" s="22">
        <f t="shared" si="28"/>
        <v>434</v>
      </c>
      <c r="AF32" s="22">
        <f t="shared" si="29"/>
        <v>574.01784452827451</v>
      </c>
      <c r="AG32" s="22">
        <f t="shared" si="30"/>
        <v>-786.47583237353331</v>
      </c>
      <c r="AH32" s="22">
        <f t="shared" si="31"/>
        <v>249123.74452527112</v>
      </c>
      <c r="AI32" s="22">
        <f t="shared" si="32"/>
        <v>246861.30000000002</v>
      </c>
      <c r="AJ32" s="91">
        <f t="shared" si="33"/>
        <v>-2262.4445252711012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Hospitals, Tertiary Health Services and Human Resource Development</v>
      </c>
      <c r="D33" s="222">
        <f t="shared" si="2"/>
        <v>0</v>
      </c>
      <c r="E33" s="223">
        <f t="shared" si="2"/>
        <v>0</v>
      </c>
      <c r="F33" s="80">
        <f t="shared" si="3"/>
        <v>291</v>
      </c>
      <c r="G33" s="155">
        <f t="shared" si="4"/>
        <v>381.01030927835052</v>
      </c>
      <c r="H33" s="155">
        <f t="shared" si="5"/>
        <v>110874</v>
      </c>
      <c r="I33" s="23">
        <f t="shared" si="6"/>
        <v>46</v>
      </c>
      <c r="J33" s="22">
        <f t="shared" si="7"/>
        <v>337</v>
      </c>
      <c r="K33" s="22">
        <f t="shared" si="8"/>
        <v>409.30534668943432</v>
      </c>
      <c r="L33" s="22">
        <f t="shared" si="9"/>
        <v>19454.144950782644</v>
      </c>
      <c r="M33" s="22">
        <f t="shared" si="10"/>
        <v>137935.90183433937</v>
      </c>
      <c r="N33" s="22">
        <f t="shared" si="11"/>
        <v>131726</v>
      </c>
      <c r="O33" s="91">
        <f t="shared" si="12"/>
        <v>-6209.9018343393691</v>
      </c>
      <c r="P33" s="23">
        <f t="shared" si="13"/>
        <v>-40</v>
      </c>
      <c r="Q33" s="22">
        <f t="shared" si="14"/>
        <v>297</v>
      </c>
      <c r="R33" s="22">
        <f t="shared" si="15"/>
        <v>440.07729052524195</v>
      </c>
      <c r="S33" s="22">
        <f t="shared" si="16"/>
        <v>-16695.830745030496</v>
      </c>
      <c r="T33" s="22">
        <f t="shared" si="17"/>
        <v>130702.95528599685</v>
      </c>
      <c r="U33" s="22">
        <f t="shared" si="18"/>
        <v>136168</v>
      </c>
      <c r="V33" s="91">
        <f t="shared" si="19"/>
        <v>5465.0447140031465</v>
      </c>
      <c r="W33" s="23">
        <f t="shared" si="20"/>
        <v>-1</v>
      </c>
      <c r="X33" s="22">
        <f t="shared" si="21"/>
        <v>296</v>
      </c>
      <c r="Y33" s="22">
        <f t="shared" si="22"/>
        <v>470.81925018037373</v>
      </c>
      <c r="Z33" s="22">
        <f t="shared" si="23"/>
        <v>-154.77240159718323</v>
      </c>
      <c r="AA33" s="22">
        <f t="shared" si="24"/>
        <v>139362.49805339062</v>
      </c>
      <c r="AB33" s="22">
        <f t="shared" si="25"/>
        <v>145094</v>
      </c>
      <c r="AC33" s="91">
        <f t="shared" si="26"/>
        <v>5731.50194660938</v>
      </c>
      <c r="AD33" s="23">
        <f t="shared" si="27"/>
        <v>-2</v>
      </c>
      <c r="AE33" s="22">
        <f t="shared" si="28"/>
        <v>294</v>
      </c>
      <c r="AF33" s="22">
        <f t="shared" si="29"/>
        <v>500.44752634152377</v>
      </c>
      <c r="AG33" s="22">
        <f t="shared" si="30"/>
        <v>-1352.0014430771769</v>
      </c>
      <c r="AH33" s="22">
        <f t="shared" si="31"/>
        <v>147131.57274440798</v>
      </c>
      <c r="AI33" s="22">
        <f t="shared" si="32"/>
        <v>156121.144</v>
      </c>
      <c r="AJ33" s="91">
        <f t="shared" si="33"/>
        <v>8989.5712555920181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Health Regulation and Compliance Management</v>
      </c>
      <c r="D34" s="222">
        <f t="shared" si="2"/>
        <v>0</v>
      </c>
      <c r="E34" s="223">
        <f t="shared" si="2"/>
        <v>0</v>
      </c>
      <c r="F34" s="80">
        <f t="shared" si="3"/>
        <v>376</v>
      </c>
      <c r="G34" s="155">
        <f t="shared" si="4"/>
        <v>329.76063829787233</v>
      </c>
      <c r="H34" s="155">
        <f t="shared" si="5"/>
        <v>123990</v>
      </c>
      <c r="I34" s="23">
        <f t="shared" si="6"/>
        <v>-15</v>
      </c>
      <c r="J34" s="22">
        <f t="shared" si="7"/>
        <v>361</v>
      </c>
      <c r="K34" s="22">
        <f t="shared" si="8"/>
        <v>347.80223850295329</v>
      </c>
      <c r="L34" s="22">
        <f t="shared" si="9"/>
        <v>-9034.2180316736667</v>
      </c>
      <c r="M34" s="22">
        <f t="shared" si="10"/>
        <v>125556.60809956615</v>
      </c>
      <c r="N34" s="22">
        <f t="shared" si="11"/>
        <v>160468</v>
      </c>
      <c r="O34" s="91">
        <f t="shared" si="12"/>
        <v>34911.391900433853</v>
      </c>
      <c r="P34" s="23">
        <f t="shared" si="13"/>
        <v>-211</v>
      </c>
      <c r="Q34" s="22">
        <f t="shared" si="14"/>
        <v>150</v>
      </c>
      <c r="R34" s="22">
        <f t="shared" si="15"/>
        <v>326.77685446845123</v>
      </c>
      <c r="S34" s="22">
        <f t="shared" si="16"/>
        <v>-87064.954112244362</v>
      </c>
      <c r="T34" s="22">
        <f t="shared" si="17"/>
        <v>49016.528170267688</v>
      </c>
      <c r="U34" s="22">
        <f t="shared" si="18"/>
        <v>168545</v>
      </c>
      <c r="V34" s="91">
        <f t="shared" si="19"/>
        <v>119528.47182973231</v>
      </c>
      <c r="W34" s="23">
        <f t="shared" si="20"/>
        <v>-2</v>
      </c>
      <c r="X34" s="22">
        <f t="shared" si="21"/>
        <v>148</v>
      </c>
      <c r="Y34" s="22">
        <f t="shared" si="22"/>
        <v>352.10016152787227</v>
      </c>
      <c r="Z34" s="22">
        <f t="shared" si="23"/>
        <v>-911.81124936027391</v>
      </c>
      <c r="AA34" s="22">
        <f t="shared" si="24"/>
        <v>52110.823906125093</v>
      </c>
      <c r="AB34" s="22">
        <f t="shared" si="25"/>
        <v>178676</v>
      </c>
      <c r="AC34" s="91">
        <f t="shared" si="26"/>
        <v>126565.17609387491</v>
      </c>
      <c r="AD34" s="23">
        <f t="shared" si="27"/>
        <v>0</v>
      </c>
      <c r="AE34" s="22">
        <f t="shared" si="28"/>
        <v>148</v>
      </c>
      <c r="AF34" s="22">
        <f t="shared" si="29"/>
        <v>380.16162811928382</v>
      </c>
      <c r="AG34" s="22">
        <f t="shared" si="30"/>
        <v>0</v>
      </c>
      <c r="AH34" s="22">
        <f t="shared" si="31"/>
        <v>56263.920961654003</v>
      </c>
      <c r="AI34" s="22">
        <f t="shared" si="32"/>
        <v>192255.37600000002</v>
      </c>
      <c r="AJ34" s="91">
        <f t="shared" si="33"/>
        <v>135991.455038346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1818</v>
      </c>
      <c r="G45" s="92">
        <f>IFERROR(H45/F45,0)</f>
        <v>412.59443289328931</v>
      </c>
      <c r="H45" s="92">
        <f>SUM(H29:H38)</f>
        <v>750096.679</v>
      </c>
      <c r="I45" s="25">
        <f>SUM(I29:I38)</f>
        <v>112</v>
      </c>
      <c r="J45" s="92">
        <f>SUM(J29:J38)</f>
        <v>1930</v>
      </c>
      <c r="K45" s="92">
        <f>IFERROR(M45/J45,0)</f>
        <v>446.06210941229966</v>
      </c>
      <c r="L45" s="92">
        <f t="shared" ref="L45:Q45" si="34">SUM(L29:L38)</f>
        <v>51620.402065718779</v>
      </c>
      <c r="M45" s="92">
        <f t="shared" si="34"/>
        <v>860899.87116573832</v>
      </c>
      <c r="N45" s="92">
        <f>INDEX('ENE17'!$C$2:$C$48,MATCH(Results!$D$3,'ENE17'!$A$2:$A$48,0))</f>
        <v>857398</v>
      </c>
      <c r="O45" s="129">
        <f>N45-M45</f>
        <v>-3501.8711657383246</v>
      </c>
      <c r="P45" s="25">
        <f t="shared" si="34"/>
        <v>-264</v>
      </c>
      <c r="Q45" s="24">
        <f t="shared" si="34"/>
        <v>1666</v>
      </c>
      <c r="R45" s="92">
        <f>IFERROR(T45/Q45,0)</f>
        <v>492.76981040973743</v>
      </c>
      <c r="S45" s="24">
        <f>SUM(S29:S38)</f>
        <v>-108804.74298672493</v>
      </c>
      <c r="T45" s="24">
        <f>SUM(T29:T38)</f>
        <v>820954.50414262258</v>
      </c>
      <c r="U45" s="207">
        <f>INDEX('ENE17'!$D$2:$D$48,MATCH(Results!$D$3,'ENE17'!$A$2:$A$48,0))</f>
        <v>760037</v>
      </c>
      <c r="V45" s="24">
        <f>U45-T45</f>
        <v>-60917.50414262258</v>
      </c>
      <c r="W45" s="25">
        <f t="shared" ref="W45:X45" si="35">SUM(W29:W38)</f>
        <v>-22</v>
      </c>
      <c r="X45" s="24">
        <f t="shared" si="35"/>
        <v>1644</v>
      </c>
      <c r="Y45" s="92">
        <f>IFERROR(AA45/X45,0)</f>
        <v>529.68496068435866</v>
      </c>
      <c r="Z45" s="24">
        <f t="shared" ref="Z45:AA45" si="36">SUM(Z29:Z38)</f>
        <v>-14797.779089329357</v>
      </c>
      <c r="AA45" s="24">
        <f t="shared" si="36"/>
        <v>870802.07536508562</v>
      </c>
      <c r="AB45" s="207">
        <f>INDEX('ENE17'!$E$2:$E$48,MATCH(Results!$D$3,'ENE17'!$A$2:$A$48,0))</f>
        <v>828822</v>
      </c>
      <c r="AC45" s="24">
        <f>AB45-AA45</f>
        <v>-41980.07536508562</v>
      </c>
      <c r="AD45" s="25">
        <f t="shared" ref="AD45:AE45" si="37">SUM(AD29:AD38)</f>
        <v>-12</v>
      </c>
      <c r="AE45" s="24">
        <f t="shared" si="37"/>
        <v>1632</v>
      </c>
      <c r="AF45" s="92">
        <f>IFERROR(AH45/AE45,0)</f>
        <v>568.39969285772372</v>
      </c>
      <c r="AG45" s="24">
        <f t="shared" ref="AG45:AH45" si="38">SUM(AG29:AG38)</f>
        <v>-10031.756710601068</v>
      </c>
      <c r="AH45" s="24">
        <f t="shared" si="38"/>
        <v>927628.29874380515</v>
      </c>
      <c r="AI45" s="207">
        <f>INDEX('ENE17'!$F$2:$F$48,MATCH(Results!$D$3,'ENE17'!$A$2:$A$48,0))</f>
        <v>894357</v>
      </c>
      <c r="AJ45" s="24">
        <f>AI45-AH45</f>
        <v>-33271.29874380515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608</v>
      </c>
      <c r="G51" s="193">
        <f>IFERROR(H51/F51,"")</f>
        <v>192.65726151315789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117135.61500000001</v>
      </c>
      <c r="I51" s="97">
        <f>SUMIFS($N$64:$N$509,$B$64:$B$509,$B51)-SUMIFS($O$64:$O$509,$B$64:$B$509,$B51)</f>
        <v>40</v>
      </c>
      <c r="J51" s="80">
        <f>SUMIFS($P$64:$P$509,$B$64:$B$509,$B51)</f>
        <v>648</v>
      </c>
      <c r="K51" s="80">
        <f>IFERROR(M51/J51,0)</f>
        <v>212.31088379739495</v>
      </c>
      <c r="L51" s="80">
        <f>SUMIFS($R$64:$R$509,$B$64:$B$509,$B51)+SUMIFS($Q$64:$Q$509,$B$64:$B$509,$B51)</f>
        <v>10893.737475588379</v>
      </c>
      <c r="M51" s="98">
        <f>SUMIFS($S$64:$S$509,$B$64:$B$509,$B51)</f>
        <v>137577.45270071193</v>
      </c>
      <c r="N51" s="80">
        <f>SUMIFS($V$64:$V$509,$B$64:$B$509,$B51)-SUMIFS($W$64:$W$509,$B$64:$B$509,$B51)</f>
        <v>-89</v>
      </c>
      <c r="O51" s="80">
        <f>SUMIFS($X$64:$X$509,$B$64:$B$509,$B51)</f>
        <v>559</v>
      </c>
      <c r="P51" s="80">
        <f>IFERROR(R51/O51,0)</f>
        <v>234.16882668632741</v>
      </c>
      <c r="Q51" s="80">
        <f>SUMIFS($Z$64:$Z$509,$B$64:$B$509,$B51)+SUMIFS($Y$64:$Y$509,$B$64:$B$509,$B51)</f>
        <v>-17727.535983429527</v>
      </c>
      <c r="R51" s="80">
        <f>SUMIFS($AA$64:$AA$509,$B$64:$B$509,$B51)</f>
        <v>130900.37411765702</v>
      </c>
      <c r="S51" s="97">
        <f>SUMIFS($AD$64:$AD$509,$B$64:$B$509,$B51)-SUMIFS($AE$64:$AE$509,$B$64:$B$509,$B51)</f>
        <v>-7</v>
      </c>
      <c r="T51" s="80">
        <f>SUMIFS($AF$64:$AF$509,$B$64:$B$509,$B51)</f>
        <v>552</v>
      </c>
      <c r="U51" s="80">
        <f>IFERROR(W51/T51,0)</f>
        <v>253.37148570329353</v>
      </c>
      <c r="V51" s="80">
        <f>SUMIFS($AH$64:$AH$509,$B$64:$B$509,$B51)+SUMIFS($AG$64:$AG$509,$B$64:$B$509,$B51)</f>
        <v>-1352.7271797480387</v>
      </c>
      <c r="W51" s="98">
        <f>SUMIFS($AI$64:$AI$509,$B$64:$B$509,$B51)</f>
        <v>139861.06010821802</v>
      </c>
      <c r="X51" s="80">
        <f>SUMIFS($AL$64:$AL$509,$B$64:$B$509,$B51)-SUMIFS($AM$64:$AM$509,$B$64:$B$509,$B51)</f>
        <v>-3</v>
      </c>
      <c r="Y51" s="80">
        <f>SUMIFS($AN$64:$AN$509,$B$64:$B$509,$B51)</f>
        <v>549</v>
      </c>
      <c r="Z51" s="80">
        <f>IFERROR(AB51/Y51,0)</f>
        <v>272.88172525744335</v>
      </c>
      <c r="AA51" s="80">
        <f>SUMIFS($AP$64:$AP$509,$B$64:$B$509,$B51)+SUMIFS($AO$64:$AO$509,$B$64:$B$509,$B51)</f>
        <v>-789.15688240805741</v>
      </c>
      <c r="AB51" s="98">
        <f>SUMIFS($AQ$64:$AQ$509,$B$64:$B$509,$B51)</f>
        <v>149812.0671663364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796</v>
      </c>
      <c r="G52" s="192">
        <f t="shared" ref="G52:G55" si="40">IFERROR(H52/F52,"")</f>
        <v>404.30444346733668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321826.337</v>
      </c>
      <c r="I52" s="97">
        <f>SUMIFS($N$64:$N$509,$B$64:$B$509,$B52)-SUMIFS($O$64:$O$509,$B$64:$B$509,$B52)</f>
        <v>28</v>
      </c>
      <c r="J52" s="80">
        <f>SUMIFS($P$64:$P$509,$B$64:$B$509,$B52)</f>
        <v>824</v>
      </c>
      <c r="K52" s="80">
        <f t="shared" ref="K52:K56" si="41">IFERROR(M52/J52,0)</f>
        <v>441.81160316214556</v>
      </c>
      <c r="L52" s="80">
        <f>SUMIFS($R$64:$R$509,$B$64:$B$509,$B52)+SUMIFS($Q$64:$Q$509,$B$64:$B$509,$B52)</f>
        <v>14747.516254175098</v>
      </c>
      <c r="M52" s="98">
        <f>SUMIFS($S$64:$S$509,$B$64:$B$509,$B52)</f>
        <v>364052.76100560796</v>
      </c>
      <c r="N52" s="80">
        <f>SUMIFS($V$64:$V$509,$B$64:$B$509,$B52)-SUMIFS($W$64:$W$509,$B$64:$B$509,$B52)</f>
        <v>-29</v>
      </c>
      <c r="O52" s="80">
        <f>SUMIFS($X$64:$X$509,$B$64:$B$509,$B52)</f>
        <v>795</v>
      </c>
      <c r="P52" s="80">
        <f t="shared" ref="P52:P55" si="42">IFERROR(R52/O52,0)</f>
        <v>481.49126424786346</v>
      </c>
      <c r="Q52" s="80">
        <f>SUMIFS($Z$64:$Z$509,$B$64:$B$509,$B52)+SUMIFS($Y$64:$Y$509,$B$64:$B$509,$B52)</f>
        <v>-10964.348143161284</v>
      </c>
      <c r="R52" s="80">
        <f>SUMIFS($AA$64:$AA$509,$B$64:$B$509,$B52)</f>
        <v>382785.55507705145</v>
      </c>
      <c r="S52" s="97">
        <f>SUMIFS($AD$64:$AD$509,$B$64:$B$509,$B52)-SUMIFS($AE$64:$AE$509,$B$64:$B$509,$B52)</f>
        <v>-8</v>
      </c>
      <c r="T52" s="80">
        <f>SUMIFS($AF$64:$AF$509,$B$64:$B$509,$B52)</f>
        <v>787</v>
      </c>
      <c r="U52" s="80">
        <f t="shared" ref="U52:U55" si="43">IFERROR(W52/T52,0)</f>
        <v>519.41212043153689</v>
      </c>
      <c r="V52" s="80">
        <f>SUMIFS($AH$64:$AH$509,$B$64:$B$509,$B52)+SUMIFS($AG$64:$AG$509,$B$64:$B$509,$B52)</f>
        <v>-4835.3735953920568</v>
      </c>
      <c r="W52" s="98">
        <f>SUMIFS($AI$64:$AI$509,$B$64:$B$509,$B52)</f>
        <v>408777.33877961955</v>
      </c>
      <c r="X52" s="80">
        <f>SUMIFS($AL$64:$AL$509,$B$64:$B$509,$B52)-SUMIFS($AM$64:$AM$509,$B$64:$B$509,$B52)</f>
        <v>-2</v>
      </c>
      <c r="Y52" s="80">
        <f>SUMIFS($AN$64:$AN$509,$B$64:$B$509,$B52)</f>
        <v>785</v>
      </c>
      <c r="Z52" s="80">
        <f t="shared" ref="Z52:Z55" si="44">IFERROR(AB52/Y52,0)</f>
        <v>560.09290489435114</v>
      </c>
      <c r="AA52" s="80">
        <f>SUMIFS($AP$64:$AP$509,$B$64:$B$509,$B52)+SUMIFS($AO$64:$AO$509,$B$64:$B$509,$B52)</f>
        <v>-1203.9910298204065</v>
      </c>
      <c r="AB52" s="98">
        <f>SUMIFS($AQ$64:$AQ$509,$B$64:$B$509,$B52)</f>
        <v>439672.93034206564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293</v>
      </c>
      <c r="G53" s="192">
        <f t="shared" si="40"/>
        <v>634.88361774744021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186020.9</v>
      </c>
      <c r="I53" s="97">
        <f>SUMIFS($N$64:$N$509,$B$64:$B$509,$B53)-SUMIFS($O$64:$O$509,$B$64:$B$509,$B53)</f>
        <v>33</v>
      </c>
      <c r="J53" s="80">
        <f>SUMIFS($P$64:$P$509,$B$64:$B$509,$B53)</f>
        <v>326</v>
      </c>
      <c r="K53" s="80">
        <f t="shared" si="41"/>
        <v>664.96650350400114</v>
      </c>
      <c r="L53" s="80">
        <f>SUMIFS($R$64:$R$509,$B$64:$B$509,$B53)+SUMIFS($Q$64:$Q$509,$B$64:$B$509,$B53)</f>
        <v>14042.20078055341</v>
      </c>
      <c r="M53" s="98">
        <f>SUMIFS($S$64:$S$509,$B$64:$B$509,$B53)</f>
        <v>216779.08014230439</v>
      </c>
      <c r="N53" s="80">
        <f>SUMIFS($V$64:$V$509,$B$64:$B$509,$B53)-SUMIFS($W$64:$W$509,$B$64:$B$509,$B53)</f>
        <v>-139</v>
      </c>
      <c r="O53" s="80">
        <f>SUMIFS($X$64:$X$509,$B$64:$B$509,$B53)</f>
        <v>187</v>
      </c>
      <c r="P53" s="80">
        <f t="shared" si="42"/>
        <v>860.53373203141393</v>
      </c>
      <c r="Q53" s="80">
        <f>SUMIFS($Z$64:$Z$509,$B$64:$B$509,$B53)+SUMIFS($Y$64:$Y$509,$B$64:$B$509,$B53)</f>
        <v>-73883.580651957978</v>
      </c>
      <c r="R53" s="80">
        <f>SUMIFS($AA$64:$AA$509,$B$64:$B$509,$B53)</f>
        <v>160919.80788987441</v>
      </c>
      <c r="S53" s="97">
        <f>SUMIFS($AD$64:$AD$509,$B$64:$B$509,$B53)-SUMIFS($AE$64:$AE$509,$B$64:$B$509,$B53)</f>
        <v>-4</v>
      </c>
      <c r="T53" s="80">
        <f>SUMIFS($AF$64:$AF$509,$B$64:$B$509,$B53)</f>
        <v>183</v>
      </c>
      <c r="U53" s="80">
        <f t="shared" si="43"/>
        <v>931.4538952496124</v>
      </c>
      <c r="V53" s="80">
        <f>SUMIFS($AH$64:$AH$509,$B$64:$B$509,$B53)+SUMIFS($AG$64:$AG$509,$B$64:$B$509,$B53)</f>
        <v>-3761.9364661794425</v>
      </c>
      <c r="W53" s="98">
        <f>SUMIFS($AI$64:$AI$509,$B$64:$B$509,$B53)</f>
        <v>170456.06283067906</v>
      </c>
      <c r="X53" s="80">
        <f>SUMIFS($AL$64:$AL$509,$B$64:$B$509,$B53)-SUMIFS($AM$64:$AM$509,$B$64:$B$509,$B53)</f>
        <v>-3</v>
      </c>
      <c r="Y53" s="80">
        <f>SUMIFS($AN$64:$AN$509,$B$64:$B$509,$B53)</f>
        <v>180</v>
      </c>
      <c r="Z53" s="80">
        <f t="shared" si="44"/>
        <v>1006.2694203991704</v>
      </c>
      <c r="AA53" s="80">
        <f>SUMIFS($AP$64:$AP$509,$B$64:$B$509,$B53)+SUMIFS($AO$64:$AO$509,$B$64:$B$509,$B53)</f>
        <v>-3066.4482922559791</v>
      </c>
      <c r="AB53" s="98">
        <f>SUMIFS($AQ$64:$AQ$509,$B$64:$B$509,$B53)</f>
        <v>181128.49567185066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121</v>
      </c>
      <c r="G54" s="192">
        <f t="shared" si="40"/>
        <v>1033.9985702479339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125113.82699999999</v>
      </c>
      <c r="I54" s="97">
        <f>SUMIFS($N$64:$N$509,$B$64:$B$509,$B54)-SUMIFS($O$64:$O$509,$B$64:$B$509,$B54)</f>
        <v>11</v>
      </c>
      <c r="J54" s="80">
        <f>SUMIFS($P$64:$P$509,$B$64:$B$509,$B54)</f>
        <v>132</v>
      </c>
      <c r="K54" s="80">
        <f t="shared" si="41"/>
        <v>1079.4740705841973</v>
      </c>
      <c r="L54" s="80">
        <f>SUMIFS($R$64:$R$509,$B$64:$B$509,$B54)+SUMIFS($Q$64:$Q$509,$B$64:$B$509,$B54)</f>
        <v>11936.947555401894</v>
      </c>
      <c r="M54" s="98">
        <f>SUMIFS($S$64:$S$509,$B$64:$B$509,$B54)</f>
        <v>142490.57731711405</v>
      </c>
      <c r="N54" s="80">
        <f>SUMIFS($V$64:$V$509,$B$64:$B$509,$B54)-SUMIFS($W$64:$W$509,$B$64:$B$509,$B54)</f>
        <v>-7</v>
      </c>
      <c r="O54" s="80">
        <f>SUMIFS($X$64:$X$509,$B$64:$B$509,$B54)</f>
        <v>125</v>
      </c>
      <c r="P54" s="80">
        <f t="shared" si="42"/>
        <v>1170.790136464316</v>
      </c>
      <c r="Q54" s="80">
        <f>SUMIFS($Z$64:$Z$509,$B$64:$B$509,$B54)+SUMIFS($Y$64:$Y$509,$B$64:$B$509,$B54)</f>
        <v>-6229.2782081761516</v>
      </c>
      <c r="R54" s="80">
        <f>SUMIFS($AA$64:$AA$509,$B$64:$B$509,$B54)</f>
        <v>146348.76705803949</v>
      </c>
      <c r="S54" s="97">
        <f>SUMIFS($AD$64:$AD$509,$B$64:$B$509,$B54)-SUMIFS($AE$64:$AE$509,$B$64:$B$509,$B54)</f>
        <v>-3</v>
      </c>
      <c r="T54" s="80">
        <f>SUMIFS($AF$64:$AF$509,$B$64:$B$509,$B54)</f>
        <v>122</v>
      </c>
      <c r="U54" s="80">
        <f t="shared" si="43"/>
        <v>1243.5050298899091</v>
      </c>
      <c r="V54" s="80">
        <f>SUMIFS($AH$64:$AH$509,$B$64:$B$509,$B54)+SUMIFS($AG$64:$AG$509,$B$64:$B$509,$B54)</f>
        <v>-4847.7418480098195</v>
      </c>
      <c r="W54" s="98">
        <f>SUMIFS($AI$64:$AI$509,$B$64:$B$509,$B54)</f>
        <v>151707.61364656891</v>
      </c>
      <c r="X54" s="80">
        <f>SUMIFS($AL$64:$AL$509,$B$64:$B$509,$B54)-SUMIFS($AM$64:$AM$509,$B$64:$B$509,$B54)</f>
        <v>-4</v>
      </c>
      <c r="Y54" s="80">
        <f>SUMIFS($AN$64:$AN$509,$B$64:$B$509,$B54)</f>
        <v>118</v>
      </c>
      <c r="Z54" s="80">
        <f t="shared" si="44"/>
        <v>1330.6339454538345</v>
      </c>
      <c r="AA54" s="80">
        <f>SUMIFS($AP$64:$AP$509,$B$64:$B$509,$B54)+SUMIFS($AO$64:$AO$509,$B$64:$B$509,$B54)</f>
        <v>-4972.1605061166247</v>
      </c>
      <c r="AB54" s="98">
        <f>SUMIFS($AQ$64:$AQ$509,$B$64:$B$509,$B54)</f>
        <v>157014.80556355248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1818</v>
      </c>
      <c r="G56" s="92">
        <f t="shared" ref="G56" si="45">IFERROR(H56/F56,0)</f>
        <v>412.59443289328931</v>
      </c>
      <c r="H56" s="92">
        <f>SUM(H51:H55)</f>
        <v>750096.679</v>
      </c>
      <c r="I56" s="92">
        <f>SUM(I51:I55)</f>
        <v>112</v>
      </c>
      <c r="J56" s="92">
        <f>SUM(J51:J55)</f>
        <v>1930</v>
      </c>
      <c r="K56" s="92">
        <f t="shared" si="41"/>
        <v>446.06210941229972</v>
      </c>
      <c r="L56" s="92">
        <f>SUM(L51:L55)</f>
        <v>51620.402065718779</v>
      </c>
      <c r="M56" s="92">
        <f>SUM(M51:M55)</f>
        <v>860899.87116573844</v>
      </c>
      <c r="N56" s="92">
        <f t="shared" ref="N56:O56" si="46">SUM(N51:N55)</f>
        <v>-264</v>
      </c>
      <c r="O56" s="92">
        <f t="shared" si="46"/>
        <v>1666</v>
      </c>
      <c r="P56" s="92">
        <f>IFERROR(R56/O56,0)</f>
        <v>492.76981040973737</v>
      </c>
      <c r="Q56" s="92">
        <f t="shared" ref="Q56" si="47">SUM(Q51:Q55)</f>
        <v>-108804.74298672494</v>
      </c>
      <c r="R56" s="92">
        <f t="shared" ref="R56:T56" si="48">SUM(R51:R55)</f>
        <v>820954.50414262246</v>
      </c>
      <c r="S56" s="92">
        <f t="shared" si="48"/>
        <v>-22</v>
      </c>
      <c r="T56" s="92">
        <f t="shared" si="48"/>
        <v>1644</v>
      </c>
      <c r="U56" s="92">
        <f>IFERROR(W56/T56,0)</f>
        <v>529.68496068435866</v>
      </c>
      <c r="V56" s="92">
        <f t="shared" ref="V56" si="49">SUM(V51:V55)</f>
        <v>-14797.779089329357</v>
      </c>
      <c r="W56" s="92">
        <f t="shared" ref="W56:Y56" si="50">SUM(W51:W55)</f>
        <v>870802.07536508562</v>
      </c>
      <c r="X56" s="92">
        <f t="shared" si="50"/>
        <v>-12</v>
      </c>
      <c r="Y56" s="92">
        <f t="shared" si="50"/>
        <v>1632</v>
      </c>
      <c r="Z56" s="92">
        <f>IFERROR(AB56/Y56,0)</f>
        <v>568.39969285772372</v>
      </c>
      <c r="AA56" s="92">
        <f t="shared" ref="AA56" si="51">SUM(AA51:AA55)</f>
        <v>-10031.756710601068</v>
      </c>
      <c r="AB56" s="104">
        <f t="shared" ref="AB56" si="52">SUM(AB51:AB55)</f>
        <v>927628.29874380515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0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53</v>
      </c>
      <c r="G66" s="35">
        <f>SUMIFS(WORKING!$AC$3:$AC$6802,WORKING!$A$3:$A$6802,Results!$D$3,WORKING!$B$3:$B$6802,Results!A66,WORKING!$C$3:$C$6802,Results!C66)/1000</f>
        <v>1421.9519300000002</v>
      </c>
      <c r="H66" s="35">
        <f t="shared" si="60"/>
        <v>26.82928169811321</v>
      </c>
      <c r="I66" s="187">
        <v>54</v>
      </c>
      <c r="J66" s="212">
        <v>7423</v>
      </c>
      <c r="K66" s="217">
        <f t="shared" si="61"/>
        <v>137.46296296296296</v>
      </c>
      <c r="L66" s="34">
        <f t="shared" si="54"/>
        <v>54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148.21843868648295</v>
      </c>
      <c r="N66" s="57">
        <v>0</v>
      </c>
      <c r="O66" s="57">
        <v>1</v>
      </c>
      <c r="P66" s="61">
        <f t="shared" si="55"/>
        <v>53</v>
      </c>
      <c r="Q66" s="40">
        <f t="shared" si="62"/>
        <v>0</v>
      </c>
      <c r="R66" s="40">
        <f t="shared" si="63"/>
        <v>-148.21843868648295</v>
      </c>
      <c r="S66" s="44">
        <f t="shared" si="64"/>
        <v>7855.5772503835969</v>
      </c>
      <c r="T66" s="35">
        <f t="shared" si="65"/>
        <v>53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160.38767738094151</v>
      </c>
      <c r="V66" s="57">
        <v>0</v>
      </c>
      <c r="W66" s="57">
        <v>3</v>
      </c>
      <c r="X66" s="61">
        <f t="shared" si="56"/>
        <v>50</v>
      </c>
      <c r="Y66" s="40">
        <f t="shared" si="66"/>
        <v>0</v>
      </c>
      <c r="Z66" s="40">
        <f t="shared" si="67"/>
        <v>-481.16303214282453</v>
      </c>
      <c r="AA66" s="44">
        <f t="shared" si="68"/>
        <v>8019.3838690470757</v>
      </c>
      <c r="AB66" s="35">
        <f t="shared" si="69"/>
        <v>50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173.39385014584153</v>
      </c>
      <c r="AD66" s="57">
        <v>0</v>
      </c>
      <c r="AE66" s="57">
        <v>3</v>
      </c>
      <c r="AF66" s="61">
        <f t="shared" si="57"/>
        <v>47</v>
      </c>
      <c r="AG66" s="40">
        <f t="shared" si="70"/>
        <v>0</v>
      </c>
      <c r="AH66" s="40">
        <f t="shared" si="71"/>
        <v>-520.18155043752461</v>
      </c>
      <c r="AI66" s="44">
        <f t="shared" si="72"/>
        <v>8149.5109568545513</v>
      </c>
      <c r="AJ66" s="35">
        <f t="shared" si="58"/>
        <v>47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187.10401037019577</v>
      </c>
      <c r="AL66" s="57">
        <v>0</v>
      </c>
      <c r="AM66" s="57">
        <v>1</v>
      </c>
      <c r="AN66" s="61">
        <f t="shared" si="59"/>
        <v>46</v>
      </c>
      <c r="AO66" s="40">
        <f t="shared" si="73"/>
        <v>0</v>
      </c>
      <c r="AP66" s="40">
        <f t="shared" si="74"/>
        <v>-187.10401037019577</v>
      </c>
      <c r="AQ66" s="44">
        <f t="shared" si="75"/>
        <v>8606.7844770290048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60</v>
      </c>
      <c r="G67" s="35">
        <f>SUMIFS(WORKING!$AC$3:$AC$6802,WORKING!$A$3:$A$6802,Results!$D$3,WORKING!$B$3:$B$6802,Results!A67,WORKING!$C$3:$C$6802,Results!C67)/1000</f>
        <v>2025.6385400000001</v>
      </c>
      <c r="H67" s="35">
        <f t="shared" si="60"/>
        <v>33.760642333333337</v>
      </c>
      <c r="I67" s="187">
        <v>59</v>
      </c>
      <c r="J67" s="212">
        <v>9601.4230000000007</v>
      </c>
      <c r="K67" s="217">
        <f t="shared" si="61"/>
        <v>162.73598305084747</v>
      </c>
      <c r="L67" s="34">
        <f t="shared" si="54"/>
        <v>59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175.86923176022049</v>
      </c>
      <c r="N67" s="57">
        <v>1</v>
      </c>
      <c r="O67" s="57">
        <v>0</v>
      </c>
      <c r="P67" s="61">
        <f t="shared" si="55"/>
        <v>60</v>
      </c>
      <c r="Q67" s="40">
        <f t="shared" si="62"/>
        <v>175.86923176022049</v>
      </c>
      <c r="R67" s="40">
        <f t="shared" si="63"/>
        <v>0</v>
      </c>
      <c r="S67" s="44">
        <f t="shared" si="64"/>
        <v>10552.15390561323</v>
      </c>
      <c r="T67" s="35">
        <f t="shared" si="65"/>
        <v>60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190.43141322875445</v>
      </c>
      <c r="V67" s="57">
        <v>0</v>
      </c>
      <c r="W67" s="57">
        <v>0</v>
      </c>
      <c r="X67" s="61">
        <f t="shared" si="56"/>
        <v>60</v>
      </c>
      <c r="Y67" s="40">
        <f t="shared" si="66"/>
        <v>0</v>
      </c>
      <c r="Z67" s="40">
        <f t="shared" si="67"/>
        <v>0</v>
      </c>
      <c r="AA67" s="44">
        <f t="shared" si="68"/>
        <v>11425.884793725267</v>
      </c>
      <c r="AB67" s="35">
        <f t="shared" si="69"/>
        <v>60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206.00667040933033</v>
      </c>
      <c r="AD67" s="57">
        <v>0</v>
      </c>
      <c r="AE67" s="57">
        <v>1</v>
      </c>
      <c r="AF67" s="61">
        <f t="shared" si="57"/>
        <v>59</v>
      </c>
      <c r="AG67" s="40">
        <f t="shared" si="70"/>
        <v>0</v>
      </c>
      <c r="AH67" s="40">
        <f t="shared" si="71"/>
        <v>-206.00667040933033</v>
      </c>
      <c r="AI67" s="44">
        <f t="shared" si="72"/>
        <v>12154.393554150489</v>
      </c>
      <c r="AJ67" s="35">
        <f t="shared" si="58"/>
        <v>59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222.43891693800003</v>
      </c>
      <c r="AL67" s="57">
        <v>0</v>
      </c>
      <c r="AM67" s="57">
        <v>0</v>
      </c>
      <c r="AN67" s="61">
        <f t="shared" si="59"/>
        <v>59</v>
      </c>
      <c r="AO67" s="40">
        <f t="shared" si="73"/>
        <v>0</v>
      </c>
      <c r="AP67" s="40">
        <f t="shared" si="74"/>
        <v>0</v>
      </c>
      <c r="AQ67" s="44">
        <f t="shared" si="75"/>
        <v>13123.896099342002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57</v>
      </c>
      <c r="G68" s="35">
        <f>SUMIFS(WORKING!$AC$3:$AC$6802,WORKING!$A$3:$A$6802,Results!$D$3,WORKING!$B$3:$B$6802,Results!A68,WORKING!$C$3:$C$6802,Results!C68)/1000</f>
        <v>1944.2326</v>
      </c>
      <c r="H68" s="35">
        <f t="shared" si="60"/>
        <v>34.109343859649123</v>
      </c>
      <c r="I68" s="187">
        <v>54</v>
      </c>
      <c r="J68" s="212">
        <v>11917.308000000001</v>
      </c>
      <c r="K68" s="217">
        <f t="shared" si="61"/>
        <v>220.69088888888891</v>
      </c>
      <c r="L68" s="34">
        <f t="shared" si="54"/>
        <v>54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238.69994694194676</v>
      </c>
      <c r="N68" s="57">
        <v>2</v>
      </c>
      <c r="O68" s="57">
        <v>1</v>
      </c>
      <c r="P68" s="61">
        <f t="shared" si="55"/>
        <v>55</v>
      </c>
      <c r="Q68" s="40">
        <f t="shared" si="62"/>
        <v>477.39989388389353</v>
      </c>
      <c r="R68" s="40">
        <f t="shared" si="63"/>
        <v>-238.69994694194676</v>
      </c>
      <c r="S68" s="44">
        <f t="shared" si="64"/>
        <v>13128.497081807072</v>
      </c>
      <c r="T68" s="35">
        <f t="shared" si="65"/>
        <v>55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258.52614332053599</v>
      </c>
      <c r="V68" s="57">
        <v>0</v>
      </c>
      <c r="W68" s="57">
        <v>1</v>
      </c>
      <c r="X68" s="61">
        <f t="shared" si="56"/>
        <v>54</v>
      </c>
      <c r="Y68" s="40">
        <f t="shared" si="66"/>
        <v>0</v>
      </c>
      <c r="Z68" s="40">
        <f t="shared" si="67"/>
        <v>-258.52614332053599</v>
      </c>
      <c r="AA68" s="44">
        <f t="shared" si="68"/>
        <v>13960.411739308944</v>
      </c>
      <c r="AB68" s="35">
        <f t="shared" si="69"/>
        <v>54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279.73740773108756</v>
      </c>
      <c r="AD68" s="57">
        <v>0</v>
      </c>
      <c r="AE68" s="57">
        <v>1</v>
      </c>
      <c r="AF68" s="61">
        <f t="shared" si="57"/>
        <v>53</v>
      </c>
      <c r="AG68" s="40">
        <f t="shared" si="70"/>
        <v>0</v>
      </c>
      <c r="AH68" s="40">
        <f t="shared" si="71"/>
        <v>-279.73740773108756</v>
      </c>
      <c r="AI68" s="44">
        <f t="shared" si="72"/>
        <v>14826.08260974764</v>
      </c>
      <c r="AJ68" s="35">
        <f t="shared" si="58"/>
        <v>53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302.12269571365471</v>
      </c>
      <c r="AL68" s="57">
        <v>0</v>
      </c>
      <c r="AM68" s="57">
        <v>1</v>
      </c>
      <c r="AN68" s="61">
        <f t="shared" si="59"/>
        <v>52</v>
      </c>
      <c r="AO68" s="40">
        <f t="shared" si="73"/>
        <v>0</v>
      </c>
      <c r="AP68" s="40">
        <f t="shared" si="74"/>
        <v>-302.12269571365471</v>
      </c>
      <c r="AQ68" s="44">
        <f t="shared" si="75"/>
        <v>15710.380177110044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63</v>
      </c>
      <c r="G69" s="35">
        <f>SUMIFS(WORKING!$AC$3:$AC$6802,WORKING!$A$3:$A$6802,Results!$D$3,WORKING!$B$3:$B$6802,Results!A69,WORKING!$C$3:$C$6802,Results!C69)/1000</f>
        <v>2690.52018</v>
      </c>
      <c r="H69" s="35">
        <f t="shared" si="60"/>
        <v>42.706669523809524</v>
      </c>
      <c r="I69" s="187">
        <v>67</v>
      </c>
      <c r="J69" s="212">
        <v>18785.883999999998</v>
      </c>
      <c r="K69" s="217">
        <f t="shared" si="61"/>
        <v>280.38632835820891</v>
      </c>
      <c r="L69" s="34">
        <f t="shared" si="54"/>
        <v>67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303.9304507476113</v>
      </c>
      <c r="N69" s="57">
        <v>8</v>
      </c>
      <c r="O69" s="57">
        <v>0</v>
      </c>
      <c r="P69" s="61">
        <f t="shared" si="55"/>
        <v>75</v>
      </c>
      <c r="Q69" s="40">
        <f t="shared" si="62"/>
        <v>2431.4436059808904</v>
      </c>
      <c r="R69" s="40">
        <f t="shared" si="63"/>
        <v>0</v>
      </c>
      <c r="S69" s="44">
        <f t="shared" si="64"/>
        <v>22794.783806070849</v>
      </c>
      <c r="T69" s="35">
        <f t="shared" si="65"/>
        <v>75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329.37892541776813</v>
      </c>
      <c r="V69" s="57">
        <v>0</v>
      </c>
      <c r="W69" s="57">
        <v>0</v>
      </c>
      <c r="X69" s="61">
        <f t="shared" si="56"/>
        <v>75</v>
      </c>
      <c r="Y69" s="40">
        <f t="shared" si="66"/>
        <v>0</v>
      </c>
      <c r="Z69" s="40">
        <f t="shared" si="67"/>
        <v>0</v>
      </c>
      <c r="AA69" s="44">
        <f t="shared" si="68"/>
        <v>24703.41940633261</v>
      </c>
      <c r="AB69" s="35">
        <f t="shared" si="69"/>
        <v>75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356.62464073478139</v>
      </c>
      <c r="AD69" s="57">
        <v>0</v>
      </c>
      <c r="AE69" s="57">
        <v>0</v>
      </c>
      <c r="AF69" s="61">
        <f t="shared" si="57"/>
        <v>75</v>
      </c>
      <c r="AG69" s="40">
        <f t="shared" si="70"/>
        <v>0</v>
      </c>
      <c r="AH69" s="40">
        <f t="shared" si="71"/>
        <v>0</v>
      </c>
      <c r="AI69" s="44">
        <f t="shared" si="72"/>
        <v>26746.848055108603</v>
      </c>
      <c r="AJ69" s="35">
        <f t="shared" si="58"/>
        <v>75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385.4017075123939</v>
      </c>
      <c r="AL69" s="57">
        <v>0</v>
      </c>
      <c r="AM69" s="57">
        <v>0</v>
      </c>
      <c r="AN69" s="61">
        <f t="shared" si="59"/>
        <v>75</v>
      </c>
      <c r="AO69" s="40">
        <f t="shared" si="73"/>
        <v>0</v>
      </c>
      <c r="AP69" s="40">
        <f t="shared" si="74"/>
        <v>0</v>
      </c>
      <c r="AQ69" s="44">
        <f t="shared" si="75"/>
        <v>28905.128063429544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48</v>
      </c>
      <c r="G70" s="35">
        <f>SUMIFS(WORKING!$AC$3:$AC$6802,WORKING!$A$3:$A$6802,Results!$D$3,WORKING!$B$3:$B$6802,Results!A70,WORKING!$C$3:$C$6802,Results!C70)/1000</f>
        <v>2410.82953</v>
      </c>
      <c r="H70" s="35">
        <f t="shared" si="60"/>
        <v>50.22561520833333</v>
      </c>
      <c r="I70" s="187">
        <v>51</v>
      </c>
      <c r="J70" s="212">
        <v>17570.942999999999</v>
      </c>
      <c r="K70" s="217">
        <f t="shared" si="61"/>
        <v>344.52829411764702</v>
      </c>
      <c r="L70" s="34">
        <f t="shared" si="54"/>
        <v>51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373.50105818397276</v>
      </c>
      <c r="N70" s="57">
        <v>2</v>
      </c>
      <c r="O70" s="57">
        <v>0</v>
      </c>
      <c r="P70" s="61">
        <f t="shared" si="55"/>
        <v>53</v>
      </c>
      <c r="Q70" s="40">
        <f t="shared" si="62"/>
        <v>747.00211636794552</v>
      </c>
      <c r="R70" s="40">
        <f t="shared" si="63"/>
        <v>0</v>
      </c>
      <c r="S70" s="44">
        <f t="shared" si="64"/>
        <v>19795.556083750555</v>
      </c>
      <c r="T70" s="35">
        <f t="shared" si="65"/>
        <v>53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404.78857612142633</v>
      </c>
      <c r="V70" s="57">
        <v>0</v>
      </c>
      <c r="W70" s="57">
        <v>0</v>
      </c>
      <c r="X70" s="61">
        <f t="shared" si="56"/>
        <v>53</v>
      </c>
      <c r="Y70" s="40">
        <f t="shared" si="66"/>
        <v>0</v>
      </c>
      <c r="Z70" s="40">
        <f t="shared" si="67"/>
        <v>0</v>
      </c>
      <c r="AA70" s="44">
        <f t="shared" si="68"/>
        <v>21453.794534435594</v>
      </c>
      <c r="AB70" s="35">
        <f t="shared" si="69"/>
        <v>53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438.28698937083493</v>
      </c>
      <c r="AD70" s="57">
        <v>0</v>
      </c>
      <c r="AE70" s="57">
        <v>1</v>
      </c>
      <c r="AF70" s="61">
        <f t="shared" si="57"/>
        <v>52</v>
      </c>
      <c r="AG70" s="40">
        <f t="shared" si="70"/>
        <v>0</v>
      </c>
      <c r="AH70" s="40">
        <f t="shared" si="71"/>
        <v>-438.28698937083493</v>
      </c>
      <c r="AI70" s="44">
        <f t="shared" si="72"/>
        <v>22790.923447283418</v>
      </c>
      <c r="AJ70" s="35">
        <f t="shared" si="58"/>
        <v>52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473.66970626450853</v>
      </c>
      <c r="AL70" s="57">
        <v>0</v>
      </c>
      <c r="AM70" s="57">
        <v>0</v>
      </c>
      <c r="AN70" s="61">
        <f t="shared" si="59"/>
        <v>52</v>
      </c>
      <c r="AO70" s="40">
        <f t="shared" si="73"/>
        <v>0</v>
      </c>
      <c r="AP70" s="40">
        <f t="shared" si="74"/>
        <v>0</v>
      </c>
      <c r="AQ70" s="44">
        <f t="shared" si="75"/>
        <v>24630.824725754443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41</v>
      </c>
      <c r="G71" s="35">
        <f>SUMIFS(WORKING!$AC$3:$AC$6802,WORKING!$A$3:$A$6802,Results!$D$3,WORKING!$B$3:$B$6802,Results!A71,WORKING!$C$3:$C$6802,Results!C71)/1000</f>
        <v>2532.3769700000007</v>
      </c>
      <c r="H71" s="35">
        <f>IFERROR(G71/F71,0)</f>
        <v>61.765291951219531</v>
      </c>
      <c r="I71" s="187">
        <v>32</v>
      </c>
      <c r="J71" s="212">
        <v>13405.431</v>
      </c>
      <c r="K71" s="217">
        <f t="shared" si="61"/>
        <v>418.91971875000002</v>
      </c>
      <c r="L71" s="34">
        <f t="shared" si="54"/>
        <v>32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454.89395621286474</v>
      </c>
      <c r="N71" s="57">
        <v>5</v>
      </c>
      <c r="O71" s="57">
        <v>0</v>
      </c>
      <c r="P71" s="61">
        <f t="shared" si="55"/>
        <v>37</v>
      </c>
      <c r="Q71" s="40">
        <f t="shared" si="62"/>
        <v>2274.4697810643238</v>
      </c>
      <c r="R71" s="40">
        <f t="shared" si="63"/>
        <v>0</v>
      </c>
      <c r="S71" s="44">
        <f t="shared" si="64"/>
        <v>16831.076379875994</v>
      </c>
      <c r="T71" s="35">
        <f t="shared" si="65"/>
        <v>37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493.22868112973805</v>
      </c>
      <c r="V71" s="57">
        <v>0</v>
      </c>
      <c r="W71" s="57">
        <v>0</v>
      </c>
      <c r="X71" s="61">
        <f t="shared" si="56"/>
        <v>37</v>
      </c>
      <c r="Y71" s="40">
        <f t="shared" si="66"/>
        <v>0</v>
      </c>
      <c r="Z71" s="40">
        <f t="shared" si="67"/>
        <v>0</v>
      </c>
      <c r="AA71" s="44">
        <f t="shared" si="68"/>
        <v>18249.461201800306</v>
      </c>
      <c r="AB71" s="35">
        <f t="shared" si="69"/>
        <v>37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534.29416320576252</v>
      </c>
      <c r="AD71" s="57">
        <v>0</v>
      </c>
      <c r="AE71" s="57">
        <v>1</v>
      </c>
      <c r="AF71" s="61">
        <f t="shared" si="57"/>
        <v>36</v>
      </c>
      <c r="AG71" s="40">
        <f t="shared" si="70"/>
        <v>0</v>
      </c>
      <c r="AH71" s="40">
        <f t="shared" si="71"/>
        <v>-534.29416320576252</v>
      </c>
      <c r="AI71" s="44">
        <f t="shared" si="72"/>
        <v>19234.589875407451</v>
      </c>
      <c r="AJ71" s="35">
        <f t="shared" si="58"/>
        <v>36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577.69591731958633</v>
      </c>
      <c r="AL71" s="57">
        <v>0</v>
      </c>
      <c r="AM71" s="57">
        <v>0</v>
      </c>
      <c r="AN71" s="61">
        <f t="shared" si="59"/>
        <v>36</v>
      </c>
      <c r="AO71" s="40">
        <f t="shared" si="73"/>
        <v>0</v>
      </c>
      <c r="AP71" s="40">
        <f t="shared" si="74"/>
        <v>0</v>
      </c>
      <c r="AQ71" s="44">
        <f t="shared" si="75"/>
        <v>20797.053023505108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0</v>
      </c>
      <c r="J72" s="212">
        <v>0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0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0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0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0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50</v>
      </c>
      <c r="G73" s="35">
        <f>SUMIFS(WORKING!$AC$3:$AC$6802,WORKING!$A$3:$A$6802,Results!$D$3,WORKING!$B$3:$B$6802,Results!A73,WORKING!$C$3:$C$6802,Results!C73)/1000</f>
        <v>4270.9540700000007</v>
      </c>
      <c r="H73" s="35">
        <f t="shared" si="60"/>
        <v>85.41908140000001</v>
      </c>
      <c r="I73" s="187">
        <v>49</v>
      </c>
      <c r="J73" s="212">
        <v>26053.963</v>
      </c>
      <c r="K73" s="217">
        <f t="shared" si="61"/>
        <v>531.71353061224488</v>
      </c>
      <c r="L73" s="34">
        <f t="shared" si="54"/>
        <v>49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578.54102546593856</v>
      </c>
      <c r="N73" s="57">
        <v>2</v>
      </c>
      <c r="O73" s="57">
        <v>1</v>
      </c>
      <c r="P73" s="61">
        <f t="shared" si="55"/>
        <v>50</v>
      </c>
      <c r="Q73" s="40">
        <f t="shared" si="62"/>
        <v>1157.0820509318771</v>
      </c>
      <c r="R73" s="40">
        <f t="shared" si="63"/>
        <v>-578.54102546593856</v>
      </c>
      <c r="S73" s="44">
        <f t="shared" si="64"/>
        <v>28927.051273296929</v>
      </c>
      <c r="T73" s="35">
        <f t="shared" si="65"/>
        <v>50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627.65558409384209</v>
      </c>
      <c r="V73" s="57">
        <v>0</v>
      </c>
      <c r="W73" s="57">
        <v>0</v>
      </c>
      <c r="X73" s="61">
        <f t="shared" si="56"/>
        <v>50</v>
      </c>
      <c r="Y73" s="40">
        <f t="shared" si="66"/>
        <v>0</v>
      </c>
      <c r="Z73" s="40">
        <f t="shared" si="67"/>
        <v>0</v>
      </c>
      <c r="AA73" s="44">
        <f t="shared" si="68"/>
        <v>31382.779204692106</v>
      </c>
      <c r="AB73" s="35">
        <f t="shared" si="69"/>
        <v>50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680.30333457279039</v>
      </c>
      <c r="AD73" s="57">
        <v>0</v>
      </c>
      <c r="AE73" s="57">
        <v>1</v>
      </c>
      <c r="AF73" s="61">
        <f t="shared" si="57"/>
        <v>49</v>
      </c>
      <c r="AG73" s="40">
        <f t="shared" si="70"/>
        <v>0</v>
      </c>
      <c r="AH73" s="40">
        <f t="shared" si="71"/>
        <v>-680.30333457279039</v>
      </c>
      <c r="AI73" s="44">
        <f t="shared" si="72"/>
        <v>33334.863394066728</v>
      </c>
      <c r="AJ73" s="35">
        <f t="shared" si="58"/>
        <v>49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735.98776606759418</v>
      </c>
      <c r="AL73" s="57">
        <v>0</v>
      </c>
      <c r="AM73" s="57">
        <v>0</v>
      </c>
      <c r="AN73" s="61">
        <f t="shared" si="59"/>
        <v>49</v>
      </c>
      <c r="AO73" s="40">
        <f t="shared" si="73"/>
        <v>0</v>
      </c>
      <c r="AP73" s="40">
        <f t="shared" si="74"/>
        <v>0</v>
      </c>
      <c r="AQ73" s="44">
        <f t="shared" si="75"/>
        <v>36063.400537312118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</v>
      </c>
      <c r="G74" s="35">
        <f>SUMIFS(WORKING!$AC$3:$AC$6802,WORKING!$A$3:$A$6802,Results!$D$3,WORKING!$B$3:$B$6802,Results!A74,WORKING!$C$3:$C$6802,Results!C74)/1000</f>
        <v>266.28535999999997</v>
      </c>
      <c r="H74" s="35">
        <f t="shared" si="60"/>
        <v>133.14267999999998</v>
      </c>
      <c r="I74" s="187">
        <v>1</v>
      </c>
      <c r="J74" s="212">
        <v>659.33399999999995</v>
      </c>
      <c r="K74" s="217">
        <f t="shared" si="61"/>
        <v>659.33399999999995</v>
      </c>
      <c r="L74" s="34">
        <f t="shared" si="54"/>
        <v>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719.35236497938956</v>
      </c>
      <c r="N74" s="57">
        <v>1</v>
      </c>
      <c r="O74" s="57">
        <v>0</v>
      </c>
      <c r="P74" s="61">
        <f t="shared" si="55"/>
        <v>2</v>
      </c>
      <c r="Q74" s="40">
        <f t="shared" si="62"/>
        <v>719.35236497938956</v>
      </c>
      <c r="R74" s="40">
        <f t="shared" si="63"/>
        <v>0</v>
      </c>
      <c r="S74" s="44">
        <f t="shared" si="64"/>
        <v>1438.7047299587791</v>
      </c>
      <c r="T74" s="35">
        <f t="shared" si="65"/>
        <v>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780.4577295931789</v>
      </c>
      <c r="V74" s="57">
        <v>0</v>
      </c>
      <c r="W74" s="57">
        <v>0</v>
      </c>
      <c r="X74" s="61">
        <f t="shared" si="56"/>
        <v>2</v>
      </c>
      <c r="Y74" s="40">
        <f t="shared" si="66"/>
        <v>0</v>
      </c>
      <c r="Z74" s="40">
        <f t="shared" si="67"/>
        <v>0</v>
      </c>
      <c r="AA74" s="44">
        <f t="shared" si="68"/>
        <v>1560.9154591863578</v>
      </c>
      <c r="AB74" s="35">
        <f t="shared" si="69"/>
        <v>2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845.96232894632169</v>
      </c>
      <c r="AD74" s="57">
        <v>0</v>
      </c>
      <c r="AE74" s="57">
        <v>0</v>
      </c>
      <c r="AF74" s="61">
        <f t="shared" si="57"/>
        <v>2</v>
      </c>
      <c r="AG74" s="40">
        <f t="shared" si="70"/>
        <v>0</v>
      </c>
      <c r="AH74" s="40">
        <f t="shared" si="71"/>
        <v>0</v>
      </c>
      <c r="AI74" s="44">
        <f t="shared" si="72"/>
        <v>1691.9246578926434</v>
      </c>
      <c r="AJ74" s="35">
        <f t="shared" si="58"/>
        <v>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915.24923875496506</v>
      </c>
      <c r="AL74" s="57">
        <v>0</v>
      </c>
      <c r="AM74" s="57">
        <v>0</v>
      </c>
      <c r="AN74" s="61">
        <f t="shared" si="59"/>
        <v>2</v>
      </c>
      <c r="AO74" s="40">
        <f t="shared" si="73"/>
        <v>0</v>
      </c>
      <c r="AP74" s="40">
        <f t="shared" si="74"/>
        <v>0</v>
      </c>
      <c r="AQ74" s="44">
        <f t="shared" si="75"/>
        <v>1830.4984775099301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46</v>
      </c>
      <c r="G75" s="35">
        <f>SUMIFS(WORKING!$AC$3:$AC$6802,WORKING!$A$3:$A$6802,Results!$D$3,WORKING!$B$3:$B$6802,Results!A75,WORKING!$C$3:$C$6802,Results!C75)/1000</f>
        <v>5554.2774900000013</v>
      </c>
      <c r="H75" s="35">
        <f t="shared" si="60"/>
        <v>120.74516282608698</v>
      </c>
      <c r="I75" s="187">
        <v>49</v>
      </c>
      <c r="J75" s="212">
        <v>36004.565999999999</v>
      </c>
      <c r="K75" s="217">
        <f t="shared" si="61"/>
        <v>734.78706122448978</v>
      </c>
      <c r="L75" s="34">
        <f t="shared" si="54"/>
        <v>49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802.098032223367</v>
      </c>
      <c r="N75" s="57">
        <v>0</v>
      </c>
      <c r="O75" s="57">
        <v>0</v>
      </c>
      <c r="P75" s="61">
        <f t="shared" si="55"/>
        <v>49</v>
      </c>
      <c r="Q75" s="40">
        <f t="shared" si="62"/>
        <v>0</v>
      </c>
      <c r="R75" s="40">
        <f t="shared" si="63"/>
        <v>0</v>
      </c>
      <c r="S75" s="44">
        <f t="shared" si="64"/>
        <v>39302.803578944986</v>
      </c>
      <c r="T75" s="35">
        <f t="shared" si="65"/>
        <v>49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870.69270918859149</v>
      </c>
      <c r="V75" s="57">
        <v>0</v>
      </c>
      <c r="W75" s="57">
        <v>0</v>
      </c>
      <c r="X75" s="61">
        <f t="shared" si="56"/>
        <v>49</v>
      </c>
      <c r="Y75" s="40">
        <f t="shared" si="66"/>
        <v>0</v>
      </c>
      <c r="Z75" s="40">
        <f t="shared" si="67"/>
        <v>0</v>
      </c>
      <c r="AA75" s="44">
        <f t="shared" si="68"/>
        <v>42663.942750240982</v>
      </c>
      <c r="AB75" s="35">
        <f t="shared" si="69"/>
        <v>49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944.27021800192472</v>
      </c>
      <c r="AD75" s="57">
        <v>0</v>
      </c>
      <c r="AE75" s="57">
        <v>1</v>
      </c>
      <c r="AF75" s="61">
        <f t="shared" si="57"/>
        <v>48</v>
      </c>
      <c r="AG75" s="40">
        <f t="shared" si="70"/>
        <v>0</v>
      </c>
      <c r="AH75" s="40">
        <f t="shared" si="71"/>
        <v>-944.27021800192472</v>
      </c>
      <c r="AI75" s="44">
        <f t="shared" si="72"/>
        <v>45324.970464092388</v>
      </c>
      <c r="AJ75" s="35">
        <f t="shared" si="58"/>
        <v>48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1022.149430751993</v>
      </c>
      <c r="AL75" s="57">
        <v>0</v>
      </c>
      <c r="AM75" s="57">
        <v>3</v>
      </c>
      <c r="AN75" s="61">
        <f t="shared" si="59"/>
        <v>45</v>
      </c>
      <c r="AO75" s="40">
        <f t="shared" si="73"/>
        <v>0</v>
      </c>
      <c r="AP75" s="40">
        <f t="shared" si="74"/>
        <v>-3066.4482922559791</v>
      </c>
      <c r="AQ75" s="44">
        <f t="shared" si="75"/>
        <v>45996.724383839683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21</v>
      </c>
      <c r="G76" s="35">
        <f>SUMIFS(WORKING!$AC$3:$AC$6802,WORKING!$A$3:$A$6802,Results!$D$3,WORKING!$B$3:$B$6802,Results!A76,WORKING!$C$3:$C$6802,Results!C76)/1000</f>
        <v>3414.9158299999999</v>
      </c>
      <c r="H76" s="35">
        <f t="shared" si="60"/>
        <v>162.61503952380951</v>
      </c>
      <c r="I76" s="187">
        <v>18</v>
      </c>
      <c r="J76" s="212">
        <v>16802.746999999999</v>
      </c>
      <c r="K76" s="217">
        <f t="shared" si="61"/>
        <v>933.48594444444439</v>
      </c>
      <c r="L76" s="34">
        <f t="shared" si="54"/>
        <v>18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978.47878340842931</v>
      </c>
      <c r="N76" s="57">
        <v>4</v>
      </c>
      <c r="O76" s="57">
        <v>0</v>
      </c>
      <c r="P76" s="61">
        <f t="shared" si="55"/>
        <v>22</v>
      </c>
      <c r="Q76" s="40">
        <f t="shared" si="62"/>
        <v>3913.9151336337172</v>
      </c>
      <c r="R76" s="40">
        <f t="shared" si="63"/>
        <v>0</v>
      </c>
      <c r="S76" s="44">
        <f t="shared" si="64"/>
        <v>21526.533234985443</v>
      </c>
      <c r="T76" s="35">
        <f t="shared" si="65"/>
        <v>22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1052.4478541861959</v>
      </c>
      <c r="V76" s="57">
        <v>0</v>
      </c>
      <c r="W76" s="57">
        <v>0</v>
      </c>
      <c r="X76" s="61">
        <f t="shared" si="56"/>
        <v>22</v>
      </c>
      <c r="Y76" s="40">
        <f t="shared" si="66"/>
        <v>0</v>
      </c>
      <c r="Z76" s="40">
        <f t="shared" si="67"/>
        <v>0</v>
      </c>
      <c r="AA76" s="44">
        <f t="shared" si="68"/>
        <v>23153.85279209631</v>
      </c>
      <c r="AB76" s="35">
        <f t="shared" si="69"/>
        <v>22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1130.940757255368</v>
      </c>
      <c r="AD76" s="57">
        <v>0</v>
      </c>
      <c r="AE76" s="57">
        <v>0</v>
      </c>
      <c r="AF76" s="61">
        <f t="shared" si="57"/>
        <v>22</v>
      </c>
      <c r="AG76" s="40">
        <f t="shared" si="70"/>
        <v>0</v>
      </c>
      <c r="AH76" s="40">
        <f t="shared" si="71"/>
        <v>0</v>
      </c>
      <c r="AI76" s="44">
        <f t="shared" si="72"/>
        <v>24880.696659618097</v>
      </c>
      <c r="AJ76" s="35">
        <f t="shared" si="58"/>
        <v>22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1212.9926001092977</v>
      </c>
      <c r="AL76" s="57">
        <v>0</v>
      </c>
      <c r="AM76" s="57">
        <v>2</v>
      </c>
      <c r="AN76" s="61">
        <f t="shared" si="59"/>
        <v>20</v>
      </c>
      <c r="AO76" s="40">
        <f t="shared" si="73"/>
        <v>0</v>
      </c>
      <c r="AP76" s="40">
        <f t="shared" si="74"/>
        <v>-2425.9852002185953</v>
      </c>
      <c r="AQ76" s="44">
        <f t="shared" si="75"/>
        <v>24259.852002185951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8</v>
      </c>
      <c r="G77" s="35">
        <f>SUMIFS(WORKING!$AC$3:$AC$6802,WORKING!$A$3:$A$6802,Results!$D$3,WORKING!$B$3:$B$6802,Results!A77,WORKING!$C$3:$C$6802,Results!C77)/1000</f>
        <v>1468.3538199999998</v>
      </c>
      <c r="H77" s="35">
        <f t="shared" si="60"/>
        <v>183.54422749999998</v>
      </c>
      <c r="I77" s="187">
        <v>8</v>
      </c>
      <c r="J77" s="212">
        <v>8967.7639999999992</v>
      </c>
      <c r="K77" s="217">
        <f t="shared" si="61"/>
        <v>1120.9704999999999</v>
      </c>
      <c r="L77" s="34">
        <f t="shared" si="54"/>
        <v>8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1174.9460517069856</v>
      </c>
      <c r="N77" s="57">
        <v>1</v>
      </c>
      <c r="O77" s="57">
        <v>0</v>
      </c>
      <c r="P77" s="61">
        <f t="shared" si="55"/>
        <v>9</v>
      </c>
      <c r="Q77" s="40">
        <f t="shared" si="62"/>
        <v>1174.9460517069856</v>
      </c>
      <c r="R77" s="40">
        <f t="shared" si="63"/>
        <v>0</v>
      </c>
      <c r="S77" s="44">
        <f t="shared" si="64"/>
        <v>10574.51446536287</v>
      </c>
      <c r="T77" s="35">
        <f t="shared" si="65"/>
        <v>9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1263.7093898972082</v>
      </c>
      <c r="V77" s="57">
        <v>0</v>
      </c>
      <c r="W77" s="57">
        <v>0</v>
      </c>
      <c r="X77" s="61">
        <f t="shared" si="56"/>
        <v>9</v>
      </c>
      <c r="Y77" s="40">
        <f t="shared" si="66"/>
        <v>0</v>
      </c>
      <c r="Z77" s="40">
        <f t="shared" si="67"/>
        <v>0</v>
      </c>
      <c r="AA77" s="44">
        <f t="shared" si="68"/>
        <v>11373.384509074875</v>
      </c>
      <c r="AB77" s="35">
        <f t="shared" si="69"/>
        <v>9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1357.8962646132659</v>
      </c>
      <c r="AD77" s="57">
        <v>0</v>
      </c>
      <c r="AE77" s="57">
        <v>0</v>
      </c>
      <c r="AF77" s="61">
        <f t="shared" si="57"/>
        <v>9</v>
      </c>
      <c r="AG77" s="40">
        <f t="shared" si="70"/>
        <v>0</v>
      </c>
      <c r="AH77" s="40">
        <f t="shared" si="71"/>
        <v>0</v>
      </c>
      <c r="AI77" s="44">
        <f t="shared" si="72"/>
        <v>12221.066381519393</v>
      </c>
      <c r="AJ77" s="35">
        <f t="shared" si="58"/>
        <v>9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1456.3474575918563</v>
      </c>
      <c r="AL77" s="57">
        <v>0</v>
      </c>
      <c r="AM77" s="57">
        <v>0</v>
      </c>
      <c r="AN77" s="61">
        <f t="shared" si="59"/>
        <v>9</v>
      </c>
      <c r="AO77" s="40">
        <f t="shared" si="73"/>
        <v>0</v>
      </c>
      <c r="AP77" s="40">
        <f t="shared" si="74"/>
        <v>0</v>
      </c>
      <c r="AQ77" s="44">
        <f t="shared" si="75"/>
        <v>13107.127118326705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609.53633999999988</v>
      </c>
      <c r="H78" s="35">
        <f t="shared" si="60"/>
        <v>203.17877999999996</v>
      </c>
      <c r="I78" s="187">
        <v>3</v>
      </c>
      <c r="J78" s="212">
        <v>4345.2370000000001</v>
      </c>
      <c r="K78" s="217">
        <f t="shared" si="61"/>
        <v>1448.4123333333334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1517.9337489419263</v>
      </c>
      <c r="N78" s="57">
        <v>1</v>
      </c>
      <c r="O78" s="57">
        <v>0</v>
      </c>
      <c r="P78" s="61">
        <f t="shared" si="55"/>
        <v>4</v>
      </c>
      <c r="Q78" s="40">
        <f t="shared" si="62"/>
        <v>1517.9337489419263</v>
      </c>
      <c r="R78" s="40">
        <f t="shared" si="63"/>
        <v>0</v>
      </c>
      <c r="S78" s="44">
        <f t="shared" si="64"/>
        <v>6071.7349957677052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1632.3713486379997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6529.485394551999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1753.7803701612743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7015.1214806450971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1880.660804166597</v>
      </c>
      <c r="AL78" s="57">
        <v>0</v>
      </c>
      <c r="AM78" s="57">
        <v>0</v>
      </c>
      <c r="AN78" s="61">
        <f t="shared" si="59"/>
        <v>4</v>
      </c>
      <c r="AO78" s="40">
        <f t="shared" si="73"/>
        <v>0</v>
      </c>
      <c r="AP78" s="40">
        <f t="shared" si="74"/>
        <v>0</v>
      </c>
      <c r="AQ78" s="44">
        <f t="shared" si="75"/>
        <v>7522.6432166663881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1481.4781200000002</v>
      </c>
      <c r="H79" s="35">
        <f t="shared" si="60"/>
        <v>370.36953000000005</v>
      </c>
      <c r="I79" s="187">
        <v>3</v>
      </c>
      <c r="J79" s="212">
        <v>6191.0789999999997</v>
      </c>
      <c r="K79" s="217">
        <f t="shared" si="61"/>
        <v>2063.6929999999998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2163.4526777034316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6490.3580331102949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2327.3154514670518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6981.946354401156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2501.2275321373086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7503.6825964119253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2683.0587065546806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8049.1761196640418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>
        <v>0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>
        <v>0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>
        <v>0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>
        <v>0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456</v>
      </c>
      <c r="G84" s="41">
        <f>SUM(G64:G83)</f>
        <v>30091.350780000004</v>
      </c>
      <c r="H84" s="41">
        <f>IFERROR(G84/F84,0)</f>
        <v>65.989804342105273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448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177728.679</v>
      </c>
      <c r="K84" s="41">
        <f>IFERROR(J84/I84,"")</f>
        <v>396.71580133928575</v>
      </c>
      <c r="L84" s="41">
        <f>SUM(L64:L83)</f>
        <v>448</v>
      </c>
      <c r="M84" s="41">
        <f>IFERROR(S84/P84,0)</f>
        <v>434.93505258247524</v>
      </c>
      <c r="N84" s="41">
        <f t="shared" ref="N84:T84" si="98">SUM(N64:N83)</f>
        <v>27</v>
      </c>
      <c r="O84" s="41">
        <f t="shared" si="98"/>
        <v>3</v>
      </c>
      <c r="P84" s="41">
        <f t="shared" si="98"/>
        <v>472</v>
      </c>
      <c r="Q84" s="41">
        <f t="shared" si="98"/>
        <v>14589.413979251171</v>
      </c>
      <c r="R84" s="41">
        <f t="shared" si="98"/>
        <v>-965.45941109436831</v>
      </c>
      <c r="S84" s="45">
        <f t="shared" si="98"/>
        <v>205289.34481892831</v>
      </c>
      <c r="T84" s="41">
        <f t="shared" si="98"/>
        <v>472</v>
      </c>
      <c r="U84" s="41">
        <f>IFERROR(AA84/X84,0)</f>
        <v>473.20226924977271</v>
      </c>
      <c r="V84" s="41">
        <f t="shared" ref="V84:AB84" si="99">SUM(V64:V83)</f>
        <v>0</v>
      </c>
      <c r="W84" s="41">
        <f t="shared" si="99"/>
        <v>4</v>
      </c>
      <c r="X84" s="41">
        <f t="shared" si="99"/>
        <v>468</v>
      </c>
      <c r="Y84" s="41">
        <f t="shared" si="99"/>
        <v>0</v>
      </c>
      <c r="Z84" s="41">
        <f t="shared" si="99"/>
        <v>-739.68917546336047</v>
      </c>
      <c r="AA84" s="45">
        <f t="shared" si="99"/>
        <v>221458.66200889362</v>
      </c>
      <c r="AB84" s="41">
        <f t="shared" si="99"/>
        <v>468</v>
      </c>
      <c r="AC84" s="41">
        <f>IFERROR(AI84/AF84,0)</f>
        <v>513.88817893855867</v>
      </c>
      <c r="AD84" s="41">
        <f t="shared" ref="AD84:AJ84" si="100">SUM(AD64:AD83)</f>
        <v>0</v>
      </c>
      <c r="AE84" s="41">
        <f t="shared" si="100"/>
        <v>9</v>
      </c>
      <c r="AF84" s="41">
        <f t="shared" si="100"/>
        <v>459</v>
      </c>
      <c r="AG84" s="41">
        <f t="shared" si="100"/>
        <v>0</v>
      </c>
      <c r="AH84" s="41">
        <f t="shared" si="100"/>
        <v>-3603.080333729255</v>
      </c>
      <c r="AI84" s="45">
        <f t="shared" si="100"/>
        <v>235874.67413279842</v>
      </c>
      <c r="AJ84" s="41">
        <f t="shared" si="100"/>
        <v>459</v>
      </c>
      <c r="AK84" s="41">
        <f>IFERROR(AQ84/AN84,0)</f>
        <v>550.00771774706857</v>
      </c>
      <c r="AL84" s="41">
        <f t="shared" ref="AL84:AQ84" si="101">SUM(AL64:AL83)</f>
        <v>0</v>
      </c>
      <c r="AM84" s="41">
        <f t="shared" si="101"/>
        <v>7</v>
      </c>
      <c r="AN84" s="41">
        <f t="shared" si="101"/>
        <v>452</v>
      </c>
      <c r="AO84" s="41">
        <f t="shared" si="101"/>
        <v>0</v>
      </c>
      <c r="AP84" s="41">
        <f t="shared" si="101"/>
        <v>-5981.6601985584248</v>
      </c>
      <c r="AQ84" s="45">
        <f t="shared" si="101"/>
        <v>248603.48842167499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192521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188973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204939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220514.364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-12768.344818928308</v>
      </c>
      <c r="T86" s="39"/>
      <c r="U86" s="39"/>
      <c r="V86" s="53"/>
      <c r="W86" s="53"/>
      <c r="X86" s="110"/>
      <c r="Y86" s="39"/>
      <c r="Z86" s="39"/>
      <c r="AA86" s="54">
        <f>AA85-AA84</f>
        <v>-32485.662008893618</v>
      </c>
      <c r="AB86" s="39"/>
      <c r="AC86" s="53"/>
      <c r="AD86" s="53"/>
      <c r="AE86" s="110"/>
      <c r="AF86" s="39"/>
      <c r="AG86" s="39"/>
      <c r="AH86" s="39"/>
      <c r="AI86" s="54">
        <f>AI85-AI84</f>
        <v>-30935.67413279842</v>
      </c>
      <c r="AJ86" s="53"/>
      <c r="AK86" s="53"/>
      <c r="AL86" s="110"/>
      <c r="AM86" s="110"/>
      <c r="AN86" s="110"/>
      <c r="AO86" s="110"/>
      <c r="AP86" s="111"/>
      <c r="AQ86" s="54">
        <f>AQ85-AQ84</f>
        <v>-28089.124421674991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National Health Insurance, Health Planning and Systems Enablement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23</v>
      </c>
      <c r="J96" s="212">
        <v>4715</v>
      </c>
      <c r="K96" s="217">
        <f t="shared" si="109"/>
        <v>205</v>
      </c>
      <c r="L96" s="34">
        <f t="shared" si="102"/>
        <v>23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220.13467532676484</v>
      </c>
      <c r="N96" s="57">
        <v>0</v>
      </c>
      <c r="O96" s="57">
        <v>0</v>
      </c>
      <c r="P96" s="61">
        <f t="shared" si="103"/>
        <v>23</v>
      </c>
      <c r="Q96" s="40">
        <f t="shared" si="110"/>
        <v>0</v>
      </c>
      <c r="R96" s="40">
        <f t="shared" si="111"/>
        <v>0</v>
      </c>
      <c r="S96" s="44">
        <f t="shared" si="112"/>
        <v>5063.0975325155914</v>
      </c>
      <c r="T96" s="35">
        <f t="shared" si="113"/>
        <v>23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235.5513932837687</v>
      </c>
      <c r="V96" s="57">
        <v>0</v>
      </c>
      <c r="W96" s="57">
        <v>0</v>
      </c>
      <c r="X96" s="61">
        <f t="shared" si="104"/>
        <v>23</v>
      </c>
      <c r="Y96" s="40">
        <f t="shared" si="114"/>
        <v>0</v>
      </c>
      <c r="Z96" s="40">
        <f t="shared" si="115"/>
        <v>0</v>
      </c>
      <c r="AA96" s="44">
        <f t="shared" si="116"/>
        <v>5417.6820455266798</v>
      </c>
      <c r="AB96" s="35">
        <f t="shared" si="117"/>
        <v>23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251.81224069382986</v>
      </c>
      <c r="AD96" s="57">
        <v>0</v>
      </c>
      <c r="AE96" s="57">
        <v>0</v>
      </c>
      <c r="AF96" s="61">
        <f t="shared" si="105"/>
        <v>23</v>
      </c>
      <c r="AG96" s="40">
        <f t="shared" si="118"/>
        <v>0</v>
      </c>
      <c r="AH96" s="40">
        <f t="shared" si="119"/>
        <v>0</v>
      </c>
      <c r="AI96" s="44">
        <f t="shared" si="120"/>
        <v>5791.6815359580869</v>
      </c>
      <c r="AJ96" s="35">
        <f t="shared" si="106"/>
        <v>23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268.69200064003968</v>
      </c>
      <c r="AL96" s="57">
        <v>0</v>
      </c>
      <c r="AM96" s="57">
        <v>0</v>
      </c>
      <c r="AN96" s="61">
        <f t="shared" si="107"/>
        <v>23</v>
      </c>
      <c r="AO96" s="40">
        <f t="shared" si="121"/>
        <v>0</v>
      </c>
      <c r="AP96" s="40">
        <f t="shared" si="122"/>
        <v>0</v>
      </c>
      <c r="AQ96" s="44">
        <f t="shared" si="123"/>
        <v>6179.9160147209122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19</v>
      </c>
      <c r="J97" s="212">
        <v>4852</v>
      </c>
      <c r="K97" s="217">
        <f t="shared" si="109"/>
        <v>255.36842105263159</v>
      </c>
      <c r="L97" s="34">
        <f t="shared" si="102"/>
        <v>19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274.22168027868116</v>
      </c>
      <c r="N97" s="57">
        <v>2</v>
      </c>
      <c r="O97" s="57">
        <v>0</v>
      </c>
      <c r="P97" s="61">
        <f t="shared" si="103"/>
        <v>21</v>
      </c>
      <c r="Q97" s="40">
        <f t="shared" si="110"/>
        <v>548.44336055736233</v>
      </c>
      <c r="R97" s="40">
        <f t="shared" si="111"/>
        <v>0</v>
      </c>
      <c r="S97" s="44">
        <f t="shared" si="112"/>
        <v>5758.6552858523046</v>
      </c>
      <c r="T97" s="35">
        <f t="shared" si="113"/>
        <v>21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293.42627990060231</v>
      </c>
      <c r="V97" s="57">
        <v>0</v>
      </c>
      <c r="W97" s="57">
        <v>0</v>
      </c>
      <c r="X97" s="61">
        <f t="shared" si="104"/>
        <v>21</v>
      </c>
      <c r="Y97" s="40">
        <f t="shared" si="114"/>
        <v>0</v>
      </c>
      <c r="Z97" s="40">
        <f t="shared" si="115"/>
        <v>0</v>
      </c>
      <c r="AA97" s="44">
        <f t="shared" si="116"/>
        <v>6161.9518779126483</v>
      </c>
      <c r="AB97" s="35">
        <f t="shared" si="117"/>
        <v>21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313.68241125711495</v>
      </c>
      <c r="AD97" s="57">
        <v>0</v>
      </c>
      <c r="AE97" s="57">
        <v>0</v>
      </c>
      <c r="AF97" s="61">
        <f t="shared" si="105"/>
        <v>21</v>
      </c>
      <c r="AG97" s="40">
        <f t="shared" si="118"/>
        <v>0</v>
      </c>
      <c r="AH97" s="40">
        <f t="shared" si="119"/>
        <v>0</v>
      </c>
      <c r="AI97" s="44">
        <f t="shared" si="120"/>
        <v>6587.3306363994143</v>
      </c>
      <c r="AJ97" s="35">
        <f t="shared" si="106"/>
        <v>21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334.70952172155916</v>
      </c>
      <c r="AL97" s="57">
        <v>0</v>
      </c>
      <c r="AM97" s="57">
        <v>0</v>
      </c>
      <c r="AN97" s="61">
        <f t="shared" si="107"/>
        <v>21</v>
      </c>
      <c r="AO97" s="40">
        <f t="shared" si="121"/>
        <v>0</v>
      </c>
      <c r="AP97" s="40">
        <f t="shared" si="122"/>
        <v>0</v>
      </c>
      <c r="AQ97" s="44">
        <f t="shared" si="123"/>
        <v>7028.8999561527426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22</v>
      </c>
      <c r="J98" s="212">
        <v>7008</v>
      </c>
      <c r="K98" s="217">
        <f t="shared" si="109"/>
        <v>318.54545454545456</v>
      </c>
      <c r="L98" s="34">
        <f t="shared" si="102"/>
        <v>22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342.06292786917254</v>
      </c>
      <c r="N98" s="57">
        <v>1</v>
      </c>
      <c r="O98" s="57">
        <v>0</v>
      </c>
      <c r="P98" s="61">
        <f t="shared" si="103"/>
        <v>23</v>
      </c>
      <c r="Q98" s="40">
        <f t="shared" si="110"/>
        <v>342.06292786917254</v>
      </c>
      <c r="R98" s="40">
        <f t="shared" si="111"/>
        <v>0</v>
      </c>
      <c r="S98" s="44">
        <f t="shared" si="112"/>
        <v>7867.4473409909688</v>
      </c>
      <c r="T98" s="35">
        <f t="shared" si="113"/>
        <v>23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366.01866167021092</v>
      </c>
      <c r="V98" s="57">
        <v>0</v>
      </c>
      <c r="W98" s="57">
        <v>0</v>
      </c>
      <c r="X98" s="61">
        <f t="shared" si="104"/>
        <v>23</v>
      </c>
      <c r="Y98" s="40">
        <f t="shared" si="114"/>
        <v>0</v>
      </c>
      <c r="Z98" s="40">
        <f t="shared" si="115"/>
        <v>0</v>
      </c>
      <c r="AA98" s="44">
        <f t="shared" si="116"/>
        <v>8418.4292184148508</v>
      </c>
      <c r="AB98" s="35">
        <f t="shared" si="117"/>
        <v>23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391.28607157036805</v>
      </c>
      <c r="AD98" s="57">
        <v>0</v>
      </c>
      <c r="AE98" s="57">
        <v>0</v>
      </c>
      <c r="AF98" s="61">
        <f t="shared" si="105"/>
        <v>23</v>
      </c>
      <c r="AG98" s="40">
        <f t="shared" si="118"/>
        <v>0</v>
      </c>
      <c r="AH98" s="40">
        <f t="shared" si="119"/>
        <v>0</v>
      </c>
      <c r="AI98" s="44">
        <f t="shared" si="120"/>
        <v>8999.5796461184655</v>
      </c>
      <c r="AJ98" s="35">
        <f t="shared" si="106"/>
        <v>23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417.51519744687329</v>
      </c>
      <c r="AL98" s="57">
        <v>0</v>
      </c>
      <c r="AM98" s="57">
        <v>1</v>
      </c>
      <c r="AN98" s="61">
        <f t="shared" si="107"/>
        <v>22</v>
      </c>
      <c r="AO98" s="40">
        <f t="shared" si="121"/>
        <v>0</v>
      </c>
      <c r="AP98" s="40">
        <f t="shared" si="122"/>
        <v>-417.51519744687329</v>
      </c>
      <c r="AQ98" s="44">
        <f t="shared" si="123"/>
        <v>9185.3343438312131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24</v>
      </c>
      <c r="J99" s="212">
        <v>9513</v>
      </c>
      <c r="K99" s="217">
        <f t="shared" si="109"/>
        <v>396.375</v>
      </c>
      <c r="L99" s="34">
        <f t="shared" si="102"/>
        <v>24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425.63844845193375</v>
      </c>
      <c r="N99" s="57">
        <v>0</v>
      </c>
      <c r="O99" s="57">
        <v>0</v>
      </c>
      <c r="P99" s="61">
        <f t="shared" si="103"/>
        <v>24</v>
      </c>
      <c r="Q99" s="40">
        <f t="shared" si="110"/>
        <v>0</v>
      </c>
      <c r="R99" s="40">
        <f t="shared" si="111"/>
        <v>0</v>
      </c>
      <c r="S99" s="44">
        <f t="shared" si="112"/>
        <v>10215.32276284641</v>
      </c>
      <c r="T99" s="35">
        <f t="shared" si="113"/>
        <v>24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455.44723664806747</v>
      </c>
      <c r="V99" s="57">
        <v>0</v>
      </c>
      <c r="W99" s="57">
        <v>0</v>
      </c>
      <c r="X99" s="61">
        <f t="shared" si="104"/>
        <v>24</v>
      </c>
      <c r="Y99" s="40">
        <f t="shared" si="114"/>
        <v>0</v>
      </c>
      <c r="Z99" s="40">
        <f t="shared" si="115"/>
        <v>0</v>
      </c>
      <c r="AA99" s="44">
        <f t="shared" si="116"/>
        <v>10930.733679553619</v>
      </c>
      <c r="AB99" s="35">
        <f t="shared" si="117"/>
        <v>24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486.88818002447232</v>
      </c>
      <c r="AD99" s="57">
        <v>0</v>
      </c>
      <c r="AE99" s="57">
        <v>1</v>
      </c>
      <c r="AF99" s="61">
        <f t="shared" si="105"/>
        <v>23</v>
      </c>
      <c r="AG99" s="40">
        <f t="shared" si="118"/>
        <v>0</v>
      </c>
      <c r="AH99" s="40">
        <f t="shared" si="119"/>
        <v>-486.88818002447232</v>
      </c>
      <c r="AI99" s="44">
        <f t="shared" si="120"/>
        <v>11198.428140562863</v>
      </c>
      <c r="AJ99" s="35">
        <f t="shared" si="106"/>
        <v>23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519.52581343266218</v>
      </c>
      <c r="AL99" s="57">
        <v>0</v>
      </c>
      <c r="AM99" s="57">
        <v>0</v>
      </c>
      <c r="AN99" s="61">
        <f t="shared" si="107"/>
        <v>23</v>
      </c>
      <c r="AO99" s="40">
        <f t="shared" si="121"/>
        <v>0</v>
      </c>
      <c r="AP99" s="40">
        <f t="shared" si="122"/>
        <v>0</v>
      </c>
      <c r="AQ99" s="44">
        <f t="shared" si="123"/>
        <v>11949.09370895123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168.34700000000001</v>
      </c>
      <c r="H100" s="35">
        <f t="shared" si="108"/>
        <v>0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</v>
      </c>
      <c r="G101" s="35">
        <f>SUMIFS(WORKING!$AC$3:$AC$6802,WORKING!$A$3:$A$6802,Results!$D$3,WORKING!$B$3:$B$6802,Results!A101,WORKING!$C$3:$C$6802,Results!C101)/1000</f>
        <v>68.124619999999993</v>
      </c>
      <c r="H101" s="35">
        <f t="shared" si="108"/>
        <v>68.124619999999993</v>
      </c>
      <c r="I101" s="187">
        <v>27</v>
      </c>
      <c r="J101" s="212">
        <v>15240</v>
      </c>
      <c r="K101" s="217">
        <f t="shared" si="109"/>
        <v>564.44444444444446</v>
      </c>
      <c r="L101" s="34">
        <f t="shared" si="102"/>
        <v>27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616.45072140582636</v>
      </c>
      <c r="N101" s="57">
        <v>2</v>
      </c>
      <c r="O101" s="57">
        <v>0</v>
      </c>
      <c r="P101" s="61">
        <f t="shared" si="103"/>
        <v>29</v>
      </c>
      <c r="Q101" s="40">
        <f t="shared" si="110"/>
        <v>1232.9014428116527</v>
      </c>
      <c r="R101" s="40">
        <f t="shared" si="111"/>
        <v>0</v>
      </c>
      <c r="S101" s="44">
        <f t="shared" si="112"/>
        <v>17877.070920768965</v>
      </c>
      <c r="T101" s="35">
        <f t="shared" si="113"/>
        <v>29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669.49453121918896</v>
      </c>
      <c r="V101" s="57">
        <v>0</v>
      </c>
      <c r="W101" s="57">
        <v>0</v>
      </c>
      <c r="X101" s="61">
        <f t="shared" si="104"/>
        <v>29</v>
      </c>
      <c r="Y101" s="40">
        <f t="shared" si="114"/>
        <v>0</v>
      </c>
      <c r="Z101" s="40">
        <f t="shared" si="115"/>
        <v>0</v>
      </c>
      <c r="AA101" s="44">
        <f t="shared" si="116"/>
        <v>19415.341405356481</v>
      </c>
      <c r="AB101" s="35">
        <f t="shared" si="117"/>
        <v>29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726.42307300588516</v>
      </c>
      <c r="AD101" s="57">
        <v>0</v>
      </c>
      <c r="AE101" s="57">
        <v>1</v>
      </c>
      <c r="AF101" s="61">
        <f t="shared" si="105"/>
        <v>28</v>
      </c>
      <c r="AG101" s="40">
        <f t="shared" si="118"/>
        <v>0</v>
      </c>
      <c r="AH101" s="40">
        <f t="shared" si="119"/>
        <v>-726.42307300588516</v>
      </c>
      <c r="AI101" s="44">
        <f t="shared" si="120"/>
        <v>20339.846044164784</v>
      </c>
      <c r="AJ101" s="35">
        <f t="shared" si="106"/>
        <v>28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786.71773467004243</v>
      </c>
      <c r="AL101" s="57">
        <v>0</v>
      </c>
      <c r="AM101" s="57">
        <v>0</v>
      </c>
      <c r="AN101" s="61">
        <f t="shared" si="107"/>
        <v>28</v>
      </c>
      <c r="AO101" s="40">
        <f t="shared" si="121"/>
        <v>0</v>
      </c>
      <c r="AP101" s="40">
        <f t="shared" si="122"/>
        <v>0</v>
      </c>
      <c r="AQ101" s="44">
        <f t="shared" si="123"/>
        <v>22028.096570761187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</v>
      </c>
      <c r="G102" s="35">
        <f>SUMIFS(WORKING!$AC$3:$AC$6802,WORKING!$A$3:$A$6802,Results!$D$3,WORKING!$B$3:$B$6802,Results!A102,WORKING!$C$3:$C$6802,Results!C102)/1000</f>
        <v>214.11587000000003</v>
      </c>
      <c r="H102" s="35">
        <f t="shared" si="108"/>
        <v>107.05793500000001</v>
      </c>
      <c r="I102" s="187">
        <v>4</v>
      </c>
      <c r="J102" s="212">
        <v>2843</v>
      </c>
      <c r="K102" s="217">
        <f t="shared" si="109"/>
        <v>710.75</v>
      </c>
      <c r="L102" s="34">
        <f t="shared" si="102"/>
        <v>4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776.23719559877634</v>
      </c>
      <c r="N102" s="57">
        <v>0</v>
      </c>
      <c r="O102" s="57">
        <v>0</v>
      </c>
      <c r="P102" s="61">
        <f t="shared" si="103"/>
        <v>4</v>
      </c>
      <c r="Q102" s="40">
        <f t="shared" si="110"/>
        <v>0</v>
      </c>
      <c r="R102" s="40">
        <f t="shared" si="111"/>
        <v>0</v>
      </c>
      <c r="S102" s="44">
        <f t="shared" si="112"/>
        <v>3104.9487823951054</v>
      </c>
      <c r="T102" s="35">
        <f t="shared" si="113"/>
        <v>4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843.03098420725087</v>
      </c>
      <c r="V102" s="57">
        <v>0</v>
      </c>
      <c r="W102" s="57">
        <v>0</v>
      </c>
      <c r="X102" s="61">
        <f t="shared" si="104"/>
        <v>4</v>
      </c>
      <c r="Y102" s="40">
        <f t="shared" si="114"/>
        <v>0</v>
      </c>
      <c r="Z102" s="40">
        <f t="shared" si="115"/>
        <v>0</v>
      </c>
      <c r="AA102" s="44">
        <f t="shared" si="116"/>
        <v>3372.1239368290035</v>
      </c>
      <c r="AB102" s="35">
        <f t="shared" si="117"/>
        <v>4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914.71658095315638</v>
      </c>
      <c r="AD102" s="57">
        <v>0</v>
      </c>
      <c r="AE102" s="57">
        <v>0</v>
      </c>
      <c r="AF102" s="61">
        <f t="shared" si="105"/>
        <v>4</v>
      </c>
      <c r="AG102" s="40">
        <f t="shared" si="118"/>
        <v>0</v>
      </c>
      <c r="AH102" s="40">
        <f t="shared" si="119"/>
        <v>0</v>
      </c>
      <c r="AI102" s="44">
        <f t="shared" si="120"/>
        <v>3658.8663238126255</v>
      </c>
      <c r="AJ102" s="35">
        <f t="shared" si="106"/>
        <v>4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990.64095968543791</v>
      </c>
      <c r="AL102" s="57">
        <v>0</v>
      </c>
      <c r="AM102" s="57">
        <v>0</v>
      </c>
      <c r="AN102" s="61">
        <f t="shared" si="107"/>
        <v>4</v>
      </c>
      <c r="AO102" s="40">
        <f t="shared" si="121"/>
        <v>0</v>
      </c>
      <c r="AP102" s="40">
        <f t="shared" si="122"/>
        <v>0</v>
      </c>
      <c r="AQ102" s="44">
        <f t="shared" si="123"/>
        <v>3962.5638387417516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2</v>
      </c>
      <c r="G103" s="35">
        <f>SUMIFS(WORKING!$AC$3:$AC$6802,WORKING!$A$3:$A$6802,Results!$D$3,WORKING!$B$3:$B$6802,Results!A103,WORKING!$C$3:$C$6802,Results!C103)/1000</f>
        <v>799.55634000000009</v>
      </c>
      <c r="H103" s="35">
        <f t="shared" si="108"/>
        <v>399.77817000000005</v>
      </c>
      <c r="I103" s="187">
        <v>32</v>
      </c>
      <c r="J103" s="212">
        <v>25180</v>
      </c>
      <c r="K103" s="217">
        <f t="shared" si="109"/>
        <v>786.875</v>
      </c>
      <c r="L103" s="34">
        <f t="shared" si="102"/>
        <v>32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859.37640083292683</v>
      </c>
      <c r="N103" s="57">
        <v>1</v>
      </c>
      <c r="O103" s="57">
        <v>0</v>
      </c>
      <c r="P103" s="61">
        <f t="shared" si="103"/>
        <v>33</v>
      </c>
      <c r="Q103" s="40">
        <f t="shared" si="110"/>
        <v>859.37640083292683</v>
      </c>
      <c r="R103" s="40">
        <f t="shared" si="111"/>
        <v>0</v>
      </c>
      <c r="S103" s="44">
        <f t="shared" si="112"/>
        <v>28359.421227486586</v>
      </c>
      <c r="T103" s="35">
        <f t="shared" si="113"/>
        <v>33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933.32436989308712</v>
      </c>
      <c r="V103" s="57">
        <v>0</v>
      </c>
      <c r="W103" s="57">
        <v>0</v>
      </c>
      <c r="X103" s="61">
        <f t="shared" si="104"/>
        <v>33</v>
      </c>
      <c r="Y103" s="40">
        <f t="shared" si="114"/>
        <v>0</v>
      </c>
      <c r="Z103" s="40">
        <f t="shared" si="115"/>
        <v>0</v>
      </c>
      <c r="AA103" s="44">
        <f t="shared" si="116"/>
        <v>30799.704206471873</v>
      </c>
      <c r="AB103" s="35">
        <f t="shared" si="117"/>
        <v>33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1012.6881209399786</v>
      </c>
      <c r="AD103" s="57">
        <v>0</v>
      </c>
      <c r="AE103" s="57">
        <v>0</v>
      </c>
      <c r="AF103" s="61">
        <f t="shared" si="105"/>
        <v>33</v>
      </c>
      <c r="AG103" s="40">
        <f t="shared" si="118"/>
        <v>0</v>
      </c>
      <c r="AH103" s="40">
        <f t="shared" si="119"/>
        <v>0</v>
      </c>
      <c r="AI103" s="44">
        <f t="shared" si="120"/>
        <v>33418.707991019292</v>
      </c>
      <c r="AJ103" s="35">
        <f t="shared" si="106"/>
        <v>33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1096.7446882665661</v>
      </c>
      <c r="AL103" s="57">
        <v>0</v>
      </c>
      <c r="AM103" s="57">
        <v>0</v>
      </c>
      <c r="AN103" s="61">
        <f t="shared" si="107"/>
        <v>33</v>
      </c>
      <c r="AO103" s="40">
        <f t="shared" si="121"/>
        <v>0</v>
      </c>
      <c r="AP103" s="40">
        <f t="shared" si="122"/>
        <v>0</v>
      </c>
      <c r="AQ103" s="44">
        <f t="shared" si="123"/>
        <v>36192.574712796682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</v>
      </c>
      <c r="G104" s="35">
        <f>SUMIFS(WORKING!$AC$3:$AC$6802,WORKING!$A$3:$A$6802,Results!$D$3,WORKING!$B$3:$B$6802,Results!A104,WORKING!$C$3:$C$6802,Results!C104)/1000</f>
        <v>365.36009999999999</v>
      </c>
      <c r="H104" s="35">
        <f t="shared" si="108"/>
        <v>365.36009999999999</v>
      </c>
      <c r="I104" s="187">
        <v>13</v>
      </c>
      <c r="J104" s="212">
        <v>12840</v>
      </c>
      <c r="K104" s="217">
        <f t="shared" si="109"/>
        <v>987.69230769230774</v>
      </c>
      <c r="L104" s="34">
        <f t="shared" si="102"/>
        <v>13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1035.5891664680512</v>
      </c>
      <c r="N104" s="57">
        <v>2</v>
      </c>
      <c r="O104" s="57">
        <v>1</v>
      </c>
      <c r="P104" s="61">
        <f t="shared" si="103"/>
        <v>14</v>
      </c>
      <c r="Q104" s="40">
        <f t="shared" si="110"/>
        <v>2071.1783329361024</v>
      </c>
      <c r="R104" s="40">
        <f t="shared" si="111"/>
        <v>-1035.5891664680512</v>
      </c>
      <c r="S104" s="44">
        <f t="shared" si="112"/>
        <v>14498.248330552717</v>
      </c>
      <c r="T104" s="35">
        <f t="shared" si="113"/>
        <v>14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1114.1890073907309</v>
      </c>
      <c r="V104" s="57">
        <v>0</v>
      </c>
      <c r="W104" s="57">
        <v>1</v>
      </c>
      <c r="X104" s="61">
        <f t="shared" si="104"/>
        <v>13</v>
      </c>
      <c r="Y104" s="40">
        <f t="shared" si="114"/>
        <v>0</v>
      </c>
      <c r="Z104" s="40">
        <f t="shared" si="115"/>
        <v>-1114.1890073907309</v>
      </c>
      <c r="AA104" s="44">
        <f t="shared" si="116"/>
        <v>14484.457096079503</v>
      </c>
      <c r="AB104" s="35">
        <f t="shared" si="117"/>
        <v>13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1197.6235712961839</v>
      </c>
      <c r="AD104" s="57">
        <v>0</v>
      </c>
      <c r="AE104" s="57">
        <v>0</v>
      </c>
      <c r="AF104" s="61">
        <f t="shared" si="105"/>
        <v>13</v>
      </c>
      <c r="AG104" s="40">
        <f t="shared" si="118"/>
        <v>0</v>
      </c>
      <c r="AH104" s="40">
        <f t="shared" si="119"/>
        <v>0</v>
      </c>
      <c r="AI104" s="44">
        <f t="shared" si="120"/>
        <v>15569.106426850391</v>
      </c>
      <c r="AJ104" s="35">
        <f t="shared" si="106"/>
        <v>13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1284.8748488528656</v>
      </c>
      <c r="AL104" s="57">
        <v>0</v>
      </c>
      <c r="AM104" s="57">
        <v>0</v>
      </c>
      <c r="AN104" s="61">
        <f t="shared" si="107"/>
        <v>13</v>
      </c>
      <c r="AO104" s="40">
        <f t="shared" si="121"/>
        <v>0</v>
      </c>
      <c r="AP104" s="40">
        <f t="shared" si="122"/>
        <v>0</v>
      </c>
      <c r="AQ104" s="44">
        <f t="shared" si="123"/>
        <v>16703.373035087254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11</v>
      </c>
      <c r="J105" s="212">
        <v>13409</v>
      </c>
      <c r="K105" s="217">
        <f t="shared" si="109"/>
        <v>1219</v>
      </c>
      <c r="L105" s="34">
        <f t="shared" si="102"/>
        <v>11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1259.2269999999999</v>
      </c>
      <c r="N105" s="57">
        <v>1</v>
      </c>
      <c r="O105" s="57">
        <v>1</v>
      </c>
      <c r="P105" s="61">
        <f t="shared" si="103"/>
        <v>11</v>
      </c>
      <c r="Q105" s="40">
        <f t="shared" si="110"/>
        <v>1259.2269999999999</v>
      </c>
      <c r="R105" s="40">
        <f t="shared" si="111"/>
        <v>-1259.2269999999999</v>
      </c>
      <c r="S105" s="44">
        <f t="shared" si="112"/>
        <v>13851.496999999999</v>
      </c>
      <c r="T105" s="35">
        <f t="shared" si="113"/>
        <v>11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1334.78062</v>
      </c>
      <c r="V105" s="57">
        <v>0</v>
      </c>
      <c r="W105" s="57">
        <v>0</v>
      </c>
      <c r="X105" s="61">
        <f t="shared" si="104"/>
        <v>11</v>
      </c>
      <c r="Y105" s="40">
        <f t="shared" si="114"/>
        <v>0</v>
      </c>
      <c r="Z105" s="40">
        <f t="shared" si="115"/>
        <v>0</v>
      </c>
      <c r="AA105" s="44">
        <f t="shared" si="116"/>
        <v>14682.58682</v>
      </c>
      <c r="AB105" s="35">
        <f t="shared" si="117"/>
        <v>11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1413.5326765799998</v>
      </c>
      <c r="AD105" s="57">
        <v>0</v>
      </c>
      <c r="AE105" s="57">
        <v>1</v>
      </c>
      <c r="AF105" s="61">
        <f t="shared" si="105"/>
        <v>10</v>
      </c>
      <c r="AG105" s="40">
        <f t="shared" si="118"/>
        <v>0</v>
      </c>
      <c r="AH105" s="40">
        <f t="shared" si="119"/>
        <v>-1413.5326765799998</v>
      </c>
      <c r="AI105" s="44">
        <f t="shared" si="120"/>
        <v>14135.326765799999</v>
      </c>
      <c r="AJ105" s="35">
        <f t="shared" si="106"/>
        <v>10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1494.1040391450597</v>
      </c>
      <c r="AL105" s="57">
        <v>0</v>
      </c>
      <c r="AM105" s="57">
        <v>1</v>
      </c>
      <c r="AN105" s="61">
        <f t="shared" si="107"/>
        <v>9</v>
      </c>
      <c r="AO105" s="40">
        <f t="shared" si="121"/>
        <v>0</v>
      </c>
      <c r="AP105" s="40">
        <f t="shared" si="122"/>
        <v>-1494.1040391450597</v>
      </c>
      <c r="AQ105" s="44">
        <f t="shared" si="123"/>
        <v>13446.936352305536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9</v>
      </c>
      <c r="G106" s="35">
        <f>SUMIFS(WORKING!$AC$3:$AC$6802,WORKING!$A$3:$A$6802,Results!$D$3,WORKING!$B$3:$B$6802,Results!A106,WORKING!$C$3:$C$6802,Results!C106)/1000</f>
        <v>15049.74972</v>
      </c>
      <c r="H106" s="35">
        <f t="shared" si="108"/>
        <v>1672.1944133333334</v>
      </c>
      <c r="I106" s="187">
        <v>2</v>
      </c>
      <c r="J106" s="212">
        <v>2833</v>
      </c>
      <c r="K106" s="217">
        <f t="shared" si="109"/>
        <v>1416.5</v>
      </c>
      <c r="L106" s="34">
        <f t="shared" si="102"/>
        <v>2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1485.0562634067446</v>
      </c>
      <c r="N106" s="57">
        <v>0</v>
      </c>
      <c r="O106" s="57">
        <v>0</v>
      </c>
      <c r="P106" s="61">
        <f t="shared" si="103"/>
        <v>2</v>
      </c>
      <c r="Q106" s="40">
        <f t="shared" si="110"/>
        <v>0</v>
      </c>
      <c r="R106" s="40">
        <f t="shared" si="111"/>
        <v>0</v>
      </c>
      <c r="S106" s="44">
        <f t="shared" si="112"/>
        <v>2970.1125268134892</v>
      </c>
      <c r="T106" s="35">
        <f t="shared" si="113"/>
        <v>2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1597.6247522629465</v>
      </c>
      <c r="V106" s="57">
        <v>0</v>
      </c>
      <c r="W106" s="57">
        <v>0</v>
      </c>
      <c r="X106" s="61">
        <f t="shared" si="104"/>
        <v>2</v>
      </c>
      <c r="Y106" s="40">
        <f t="shared" si="114"/>
        <v>0</v>
      </c>
      <c r="Z106" s="40">
        <f t="shared" si="115"/>
        <v>0</v>
      </c>
      <c r="AA106" s="44">
        <f t="shared" si="116"/>
        <v>3195.2495045258929</v>
      </c>
      <c r="AB106" s="35">
        <f t="shared" si="117"/>
        <v>2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1717.1045857149097</v>
      </c>
      <c r="AD106" s="57">
        <v>0</v>
      </c>
      <c r="AE106" s="57">
        <v>2</v>
      </c>
      <c r="AF106" s="61">
        <f t="shared" si="105"/>
        <v>0</v>
      </c>
      <c r="AG106" s="40">
        <f t="shared" si="118"/>
        <v>0</v>
      </c>
      <c r="AH106" s="40">
        <f t="shared" si="119"/>
        <v>-3434.2091714298194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1842.0344271767099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5</v>
      </c>
      <c r="G107" s="35">
        <f>SUMIFS(WORKING!$AC$3:$AC$6802,WORKING!$A$3:$A$6802,Results!$D$3,WORKING!$B$3:$B$6802,Results!A107,WORKING!$C$3:$C$6802,Results!C107)/1000</f>
        <v>8214.9564600000012</v>
      </c>
      <c r="H107" s="35">
        <f t="shared" si="108"/>
        <v>1642.9912920000002</v>
      </c>
      <c r="I107" s="187">
        <v>0</v>
      </c>
      <c r="J107" s="212">
        <v>0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1722.37208672016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1852.7816433028488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1991.1849209636573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2135.8855492978364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0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>
        <v>0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>
        <v>0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>
        <v>0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20</v>
      </c>
      <c r="G112" s="41">
        <f>SUM(G92:G111)</f>
        <v>24880.21011</v>
      </c>
      <c r="H112" s="41">
        <f>IFERROR(G112/F112,0)</f>
        <v>1244.0105054999999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177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98433</v>
      </c>
      <c r="K112" s="41">
        <f>IFERROR(J112/I112,"")</f>
        <v>556.11864406779659</v>
      </c>
      <c r="L112" s="41">
        <f>SUM(L92:L111)</f>
        <v>177</v>
      </c>
      <c r="M112" s="41">
        <f>IFERROR(S112/P112,0)</f>
        <v>595.46642233816385</v>
      </c>
      <c r="N112" s="41">
        <f t="shared" ref="N112:T112" si="124">SUM(N92:N111)</f>
        <v>9</v>
      </c>
      <c r="O112" s="41">
        <f t="shared" si="124"/>
        <v>2</v>
      </c>
      <c r="P112" s="41">
        <f t="shared" si="124"/>
        <v>184</v>
      </c>
      <c r="Q112" s="41">
        <f t="shared" si="124"/>
        <v>6313.1894650072163</v>
      </c>
      <c r="R112" s="41">
        <f t="shared" si="124"/>
        <v>-2294.8161664680511</v>
      </c>
      <c r="S112" s="45">
        <f t="shared" si="124"/>
        <v>109565.82171022214</v>
      </c>
      <c r="T112" s="41">
        <f t="shared" si="124"/>
        <v>184</v>
      </c>
      <c r="U112" s="41">
        <f>IFERROR(AA112/X112,0)</f>
        <v>638.67901524956585</v>
      </c>
      <c r="V112" s="41">
        <f t="shared" ref="V112:AB112" si="125">SUM(V92:V111)</f>
        <v>0</v>
      </c>
      <c r="W112" s="41">
        <f t="shared" si="125"/>
        <v>1</v>
      </c>
      <c r="X112" s="41">
        <f t="shared" si="125"/>
        <v>183</v>
      </c>
      <c r="Y112" s="41">
        <f t="shared" si="125"/>
        <v>0</v>
      </c>
      <c r="Z112" s="41">
        <f t="shared" si="125"/>
        <v>-1114.1890073907309</v>
      </c>
      <c r="AA112" s="45">
        <f t="shared" si="125"/>
        <v>116878.25979067055</v>
      </c>
      <c r="AB112" s="41">
        <f t="shared" si="125"/>
        <v>183</v>
      </c>
      <c r="AC112" s="41">
        <f>IFERROR(AI112/AF112,0)</f>
        <v>672.46558152070736</v>
      </c>
      <c r="AD112" s="41">
        <f t="shared" ref="AD112:AJ112" si="126">SUM(AD92:AD111)</f>
        <v>0</v>
      </c>
      <c r="AE112" s="41">
        <f t="shared" si="126"/>
        <v>5</v>
      </c>
      <c r="AF112" s="41">
        <f t="shared" si="126"/>
        <v>178</v>
      </c>
      <c r="AG112" s="41">
        <f t="shared" si="126"/>
        <v>0</v>
      </c>
      <c r="AH112" s="41">
        <f t="shared" si="126"/>
        <v>-6061.0531010401764</v>
      </c>
      <c r="AI112" s="45">
        <f t="shared" si="126"/>
        <v>119698.87351068591</v>
      </c>
      <c r="AJ112" s="41">
        <f t="shared" si="126"/>
        <v>178</v>
      </c>
      <c r="AK112" s="41">
        <f>IFERROR(AQ112/AN112,0)</f>
        <v>719.75448030311645</v>
      </c>
      <c r="AL112" s="41">
        <f t="shared" ref="AL112:AQ112" si="127">SUM(AL92:AL111)</f>
        <v>0</v>
      </c>
      <c r="AM112" s="41">
        <f t="shared" si="127"/>
        <v>2</v>
      </c>
      <c r="AN112" s="41">
        <f t="shared" si="127"/>
        <v>176</v>
      </c>
      <c r="AO112" s="41">
        <f t="shared" si="127"/>
        <v>0</v>
      </c>
      <c r="AP112" s="41">
        <f t="shared" si="127"/>
        <v>-1911.619236591933</v>
      </c>
      <c r="AQ112" s="45">
        <f t="shared" si="127"/>
        <v>126676.7885333485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97271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95413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112946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121529.89600000001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-12294.821710222139</v>
      </c>
      <c r="T114" s="39"/>
      <c r="U114" s="39"/>
      <c r="V114" s="53"/>
      <c r="W114" s="53"/>
      <c r="X114" s="110"/>
      <c r="Y114" s="39"/>
      <c r="Z114" s="39"/>
      <c r="AA114" s="54">
        <f>AA113-AA112</f>
        <v>-21465.259790670549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-6752.8735106859094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-5146.8925333484949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HIV and AIDS, Tuberculosis, and Maternal and Child Health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9</v>
      </c>
      <c r="J124" s="212">
        <v>1830</v>
      </c>
      <c r="K124" s="217">
        <f t="shared" si="135"/>
        <v>203.33333333333334</v>
      </c>
      <c r="L124" s="34">
        <f t="shared" si="128"/>
        <v>9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218.34496251923019</v>
      </c>
      <c r="N124" s="57">
        <v>0</v>
      </c>
      <c r="O124" s="57">
        <v>0</v>
      </c>
      <c r="P124" s="61">
        <f t="shared" si="129"/>
        <v>9</v>
      </c>
      <c r="Q124" s="40">
        <f t="shared" si="136"/>
        <v>0</v>
      </c>
      <c r="R124" s="40">
        <f t="shared" si="137"/>
        <v>0</v>
      </c>
      <c r="S124" s="44">
        <f t="shared" si="138"/>
        <v>1965.1046626730717</v>
      </c>
      <c r="T124" s="35">
        <f t="shared" si="139"/>
        <v>9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233.63634130585194</v>
      </c>
      <c r="V124" s="57">
        <v>0</v>
      </c>
      <c r="W124" s="57">
        <v>0</v>
      </c>
      <c r="X124" s="61">
        <f t="shared" si="130"/>
        <v>9</v>
      </c>
      <c r="Y124" s="40">
        <f t="shared" si="140"/>
        <v>0</v>
      </c>
      <c r="Z124" s="40">
        <f t="shared" si="141"/>
        <v>0</v>
      </c>
      <c r="AA124" s="44">
        <f t="shared" si="142"/>
        <v>2102.7270717526676</v>
      </c>
      <c r="AB124" s="35">
        <f t="shared" si="143"/>
        <v>9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249.76498670444917</v>
      </c>
      <c r="AD124" s="57">
        <v>0</v>
      </c>
      <c r="AE124" s="57">
        <v>0</v>
      </c>
      <c r="AF124" s="61">
        <f t="shared" si="131"/>
        <v>9</v>
      </c>
      <c r="AG124" s="40">
        <f t="shared" si="144"/>
        <v>0</v>
      </c>
      <c r="AH124" s="40">
        <f t="shared" si="145"/>
        <v>0</v>
      </c>
      <c r="AI124" s="44">
        <f t="shared" si="146"/>
        <v>2247.8848803400424</v>
      </c>
      <c r="AJ124" s="35">
        <f t="shared" si="132"/>
        <v>9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266.5075128299581</v>
      </c>
      <c r="AL124" s="57">
        <v>0</v>
      </c>
      <c r="AM124" s="57">
        <v>0</v>
      </c>
      <c r="AN124" s="61">
        <f t="shared" si="133"/>
        <v>9</v>
      </c>
      <c r="AO124" s="40">
        <f t="shared" si="147"/>
        <v>0</v>
      </c>
      <c r="AP124" s="40">
        <f t="shared" si="148"/>
        <v>0</v>
      </c>
      <c r="AQ124" s="44">
        <f t="shared" si="149"/>
        <v>2398.567615469623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11</v>
      </c>
      <c r="J125" s="212">
        <v>2882</v>
      </c>
      <c r="K125" s="217">
        <f t="shared" si="135"/>
        <v>262</v>
      </c>
      <c r="L125" s="34">
        <f t="shared" si="128"/>
        <v>11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281.3428533444507</v>
      </c>
      <c r="N125" s="57">
        <v>3</v>
      </c>
      <c r="O125" s="57">
        <v>0</v>
      </c>
      <c r="P125" s="61">
        <f t="shared" si="129"/>
        <v>14</v>
      </c>
      <c r="Q125" s="40">
        <f t="shared" si="136"/>
        <v>844.02856003335205</v>
      </c>
      <c r="R125" s="40">
        <f t="shared" si="137"/>
        <v>0</v>
      </c>
      <c r="S125" s="44">
        <f t="shared" si="138"/>
        <v>3938.7999468223097</v>
      </c>
      <c r="T125" s="35">
        <f t="shared" si="139"/>
        <v>14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301.04617092852396</v>
      </c>
      <c r="V125" s="57">
        <v>0</v>
      </c>
      <c r="W125" s="57">
        <v>0</v>
      </c>
      <c r="X125" s="61">
        <f t="shared" si="130"/>
        <v>14</v>
      </c>
      <c r="Y125" s="40">
        <f t="shared" si="140"/>
        <v>0</v>
      </c>
      <c r="Z125" s="40">
        <f t="shared" si="141"/>
        <v>0</v>
      </c>
      <c r="AA125" s="44">
        <f t="shared" si="142"/>
        <v>4214.6463929993351</v>
      </c>
      <c r="AB125" s="35">
        <f t="shared" si="143"/>
        <v>14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321.82832713065091</v>
      </c>
      <c r="AD125" s="57">
        <v>0</v>
      </c>
      <c r="AE125" s="57">
        <v>0</v>
      </c>
      <c r="AF125" s="61">
        <f t="shared" si="131"/>
        <v>14</v>
      </c>
      <c r="AG125" s="40">
        <f t="shared" si="144"/>
        <v>0</v>
      </c>
      <c r="AH125" s="40">
        <f t="shared" si="145"/>
        <v>0</v>
      </c>
      <c r="AI125" s="44">
        <f t="shared" si="146"/>
        <v>4505.5965798291127</v>
      </c>
      <c r="AJ125" s="35">
        <f t="shared" si="132"/>
        <v>14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343.4014837448313</v>
      </c>
      <c r="AL125" s="57">
        <v>0</v>
      </c>
      <c r="AM125" s="57">
        <v>0</v>
      </c>
      <c r="AN125" s="61">
        <f t="shared" si="133"/>
        <v>14</v>
      </c>
      <c r="AO125" s="40">
        <f t="shared" si="147"/>
        <v>0</v>
      </c>
      <c r="AP125" s="40">
        <f t="shared" si="148"/>
        <v>0</v>
      </c>
      <c r="AQ125" s="44">
        <f t="shared" si="149"/>
        <v>4807.6207724276383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268.97411999999997</v>
      </c>
      <c r="H126" s="35">
        <f t="shared" si="134"/>
        <v>268.97411999999997</v>
      </c>
      <c r="I126" s="187">
        <v>16</v>
      </c>
      <c r="J126" s="212">
        <v>5106</v>
      </c>
      <c r="K126" s="217">
        <f t="shared" si="135"/>
        <v>319.125</v>
      </c>
      <c r="L126" s="34">
        <f t="shared" si="128"/>
        <v>16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348.52777347022089</v>
      </c>
      <c r="N126" s="57">
        <v>1</v>
      </c>
      <c r="O126" s="57">
        <v>0</v>
      </c>
      <c r="P126" s="61">
        <f t="shared" si="129"/>
        <v>17</v>
      </c>
      <c r="Q126" s="40">
        <f t="shared" si="136"/>
        <v>348.52777347022089</v>
      </c>
      <c r="R126" s="40">
        <f t="shared" si="137"/>
        <v>0</v>
      </c>
      <c r="S126" s="44">
        <f t="shared" si="138"/>
        <v>5924.9721489937556</v>
      </c>
      <c r="T126" s="35">
        <f t="shared" si="139"/>
        <v>17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378.51706353693453</v>
      </c>
      <c r="V126" s="57">
        <v>0</v>
      </c>
      <c r="W126" s="57">
        <v>0</v>
      </c>
      <c r="X126" s="61">
        <f t="shared" si="130"/>
        <v>17</v>
      </c>
      <c r="Y126" s="40">
        <f t="shared" si="140"/>
        <v>0</v>
      </c>
      <c r="Z126" s="40">
        <f t="shared" si="141"/>
        <v>0</v>
      </c>
      <c r="AA126" s="44">
        <f t="shared" si="142"/>
        <v>6434.7900801278865</v>
      </c>
      <c r="AB126" s="35">
        <f t="shared" si="143"/>
        <v>17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410.70260753626064</v>
      </c>
      <c r="AD126" s="57">
        <v>0</v>
      </c>
      <c r="AE126" s="57">
        <v>0</v>
      </c>
      <c r="AF126" s="61">
        <f t="shared" si="131"/>
        <v>17</v>
      </c>
      <c r="AG126" s="40">
        <f t="shared" si="144"/>
        <v>0</v>
      </c>
      <c r="AH126" s="40">
        <f t="shared" si="145"/>
        <v>0</v>
      </c>
      <c r="AI126" s="44">
        <f t="shared" si="146"/>
        <v>6981.9443281164313</v>
      </c>
      <c r="AJ126" s="35">
        <f t="shared" si="132"/>
        <v>17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444.79118565183802</v>
      </c>
      <c r="AL126" s="57">
        <v>0</v>
      </c>
      <c r="AM126" s="57">
        <v>0</v>
      </c>
      <c r="AN126" s="61">
        <f t="shared" si="133"/>
        <v>17</v>
      </c>
      <c r="AO126" s="40">
        <f t="shared" si="147"/>
        <v>0</v>
      </c>
      <c r="AP126" s="40">
        <f t="shared" si="148"/>
        <v>0</v>
      </c>
      <c r="AQ126" s="44">
        <f t="shared" si="149"/>
        <v>7561.450156081246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</v>
      </c>
      <c r="G127" s="35">
        <f>SUMIFS(WORKING!$AC$3:$AC$6802,WORKING!$A$3:$A$6802,Results!$D$3,WORKING!$B$3:$B$6802,Results!A127,WORKING!$C$3:$C$6802,Results!C127)/1000</f>
        <v>417.04083000000003</v>
      </c>
      <c r="H127" s="35">
        <f t="shared" si="134"/>
        <v>417.04083000000003</v>
      </c>
      <c r="I127" s="187">
        <v>10</v>
      </c>
      <c r="J127" s="212">
        <v>3973</v>
      </c>
      <c r="K127" s="217">
        <f t="shared" si="135"/>
        <v>397.3</v>
      </c>
      <c r="L127" s="34">
        <f t="shared" si="128"/>
        <v>10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433.90581278911702</v>
      </c>
      <c r="N127" s="57">
        <v>1</v>
      </c>
      <c r="O127" s="57">
        <v>0</v>
      </c>
      <c r="P127" s="61">
        <f t="shared" si="129"/>
        <v>11</v>
      </c>
      <c r="Q127" s="40">
        <f t="shared" si="136"/>
        <v>433.90581278911702</v>
      </c>
      <c r="R127" s="40">
        <f t="shared" si="137"/>
        <v>0</v>
      </c>
      <c r="S127" s="44">
        <f t="shared" si="138"/>
        <v>4772.9639406802871</v>
      </c>
      <c r="T127" s="35">
        <f t="shared" si="139"/>
        <v>11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471.24187751111157</v>
      </c>
      <c r="V127" s="57">
        <v>0</v>
      </c>
      <c r="W127" s="57">
        <v>0</v>
      </c>
      <c r="X127" s="61">
        <f t="shared" si="130"/>
        <v>11</v>
      </c>
      <c r="Y127" s="40">
        <f t="shared" si="140"/>
        <v>0</v>
      </c>
      <c r="Z127" s="40">
        <f t="shared" si="141"/>
        <v>0</v>
      </c>
      <c r="AA127" s="44">
        <f t="shared" si="142"/>
        <v>5183.6606526222276</v>
      </c>
      <c r="AB127" s="35">
        <f t="shared" si="143"/>
        <v>11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511.31226995876352</v>
      </c>
      <c r="AD127" s="57">
        <v>0</v>
      </c>
      <c r="AE127" s="57">
        <v>1</v>
      </c>
      <c r="AF127" s="61">
        <f t="shared" si="131"/>
        <v>10</v>
      </c>
      <c r="AG127" s="40">
        <f t="shared" si="144"/>
        <v>0</v>
      </c>
      <c r="AH127" s="40">
        <f t="shared" si="145"/>
        <v>-511.31226995876352</v>
      </c>
      <c r="AI127" s="44">
        <f t="shared" si="146"/>
        <v>5113.122699587635</v>
      </c>
      <c r="AJ127" s="35">
        <f t="shared" si="132"/>
        <v>10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553.75194648738318</v>
      </c>
      <c r="AL127" s="57">
        <v>0</v>
      </c>
      <c r="AM127" s="57">
        <v>0</v>
      </c>
      <c r="AN127" s="61">
        <f t="shared" si="133"/>
        <v>10</v>
      </c>
      <c r="AO127" s="40">
        <f t="shared" si="147"/>
        <v>0</v>
      </c>
      <c r="AP127" s="40">
        <f t="shared" si="148"/>
        <v>0</v>
      </c>
      <c r="AQ127" s="44">
        <f t="shared" si="149"/>
        <v>5537.5194648738316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0</v>
      </c>
      <c r="J128" s="212">
        <v>0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</v>
      </c>
      <c r="G129" s="35">
        <f>SUMIFS(WORKING!$AC$3:$AC$6802,WORKING!$A$3:$A$6802,Results!$D$3,WORKING!$B$3:$B$6802,Results!A129,WORKING!$C$3:$C$6802,Results!C129)/1000</f>
        <v>1150.8075599999997</v>
      </c>
      <c r="H129" s="35">
        <f t="shared" si="134"/>
        <v>383.60251999999991</v>
      </c>
      <c r="I129" s="187">
        <v>35</v>
      </c>
      <c r="J129" s="212">
        <v>19919</v>
      </c>
      <c r="K129" s="217">
        <f t="shared" si="135"/>
        <v>569.11428571428576</v>
      </c>
      <c r="L129" s="34">
        <f t="shared" si="128"/>
        <v>35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620.911150518113</v>
      </c>
      <c r="N129" s="57">
        <v>3</v>
      </c>
      <c r="O129" s="57">
        <v>0</v>
      </c>
      <c r="P129" s="61">
        <f t="shared" si="129"/>
        <v>38</v>
      </c>
      <c r="Q129" s="40">
        <f t="shared" si="136"/>
        <v>1862.7334515543389</v>
      </c>
      <c r="R129" s="40">
        <f t="shared" si="137"/>
        <v>0</v>
      </c>
      <c r="S129" s="44">
        <f t="shared" si="138"/>
        <v>23594.623719688294</v>
      </c>
      <c r="T129" s="35">
        <f t="shared" si="139"/>
        <v>38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674.14007962734627</v>
      </c>
      <c r="V129" s="57">
        <v>0</v>
      </c>
      <c r="W129" s="57">
        <v>0</v>
      </c>
      <c r="X129" s="61">
        <f t="shared" si="130"/>
        <v>38</v>
      </c>
      <c r="Y129" s="40">
        <f t="shared" si="140"/>
        <v>0</v>
      </c>
      <c r="Z129" s="40">
        <f t="shared" si="141"/>
        <v>0</v>
      </c>
      <c r="AA129" s="44">
        <f t="shared" si="142"/>
        <v>25617.32302583916</v>
      </c>
      <c r="AB129" s="35">
        <f t="shared" si="143"/>
        <v>38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731.24819928496186</v>
      </c>
      <c r="AD129" s="57">
        <v>0</v>
      </c>
      <c r="AE129" s="57">
        <v>1</v>
      </c>
      <c r="AF129" s="61">
        <f t="shared" si="131"/>
        <v>37</v>
      </c>
      <c r="AG129" s="40">
        <f t="shared" si="144"/>
        <v>0</v>
      </c>
      <c r="AH129" s="40">
        <f t="shared" si="145"/>
        <v>-731.24819928496186</v>
      </c>
      <c r="AI129" s="44">
        <f t="shared" si="146"/>
        <v>27056.18337354359</v>
      </c>
      <c r="AJ129" s="35">
        <f t="shared" si="132"/>
        <v>37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791.71026555216395</v>
      </c>
      <c r="AL129" s="57">
        <v>0</v>
      </c>
      <c r="AM129" s="57">
        <v>0</v>
      </c>
      <c r="AN129" s="61">
        <f t="shared" si="133"/>
        <v>37</v>
      </c>
      <c r="AO129" s="40">
        <f t="shared" si="147"/>
        <v>0</v>
      </c>
      <c r="AP129" s="40">
        <f t="shared" si="148"/>
        <v>0</v>
      </c>
      <c r="AQ129" s="44">
        <f t="shared" si="149"/>
        <v>29293.279825430065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0</v>
      </c>
      <c r="J130" s="212">
        <v>0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8</v>
      </c>
      <c r="G131" s="35">
        <f>SUMIFS(WORKING!$AC$3:$AC$6802,WORKING!$A$3:$A$6802,Results!$D$3,WORKING!$B$3:$B$6802,Results!A131,WORKING!$C$3:$C$6802,Results!C131)/1000</f>
        <v>4049.8970200000003</v>
      </c>
      <c r="H131" s="35">
        <f t="shared" si="134"/>
        <v>506.23712750000004</v>
      </c>
      <c r="I131" s="187">
        <v>24</v>
      </c>
      <c r="J131" s="212">
        <v>19600</v>
      </c>
      <c r="K131" s="217">
        <f t="shared" si="135"/>
        <v>816.66666666666663</v>
      </c>
      <c r="L131" s="34">
        <f t="shared" si="128"/>
        <v>24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891.32223706607067</v>
      </c>
      <c r="N131" s="57">
        <v>2</v>
      </c>
      <c r="O131" s="57">
        <v>0</v>
      </c>
      <c r="P131" s="61">
        <f t="shared" si="129"/>
        <v>26</v>
      </c>
      <c r="Q131" s="40">
        <f t="shared" si="136"/>
        <v>1782.6444741321413</v>
      </c>
      <c r="R131" s="40">
        <f t="shared" si="137"/>
        <v>0</v>
      </c>
      <c r="S131" s="44">
        <f t="shared" si="138"/>
        <v>23174.378163717836</v>
      </c>
      <c r="T131" s="35">
        <f t="shared" si="139"/>
        <v>26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967.37789629996655</v>
      </c>
      <c r="V131" s="57">
        <v>0</v>
      </c>
      <c r="W131" s="57">
        <v>0</v>
      </c>
      <c r="X131" s="61">
        <f t="shared" si="130"/>
        <v>26</v>
      </c>
      <c r="Y131" s="40">
        <f t="shared" si="140"/>
        <v>0</v>
      </c>
      <c r="Z131" s="40">
        <f t="shared" si="141"/>
        <v>0</v>
      </c>
      <c r="AA131" s="44">
        <f t="shared" si="142"/>
        <v>25151.825303799131</v>
      </c>
      <c r="AB131" s="35">
        <f t="shared" si="143"/>
        <v>26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1048.9420741950785</v>
      </c>
      <c r="AD131" s="57">
        <v>0</v>
      </c>
      <c r="AE131" s="57">
        <v>2</v>
      </c>
      <c r="AF131" s="61">
        <f t="shared" si="131"/>
        <v>24</v>
      </c>
      <c r="AG131" s="40">
        <f t="shared" si="144"/>
        <v>0</v>
      </c>
      <c r="AH131" s="40">
        <f t="shared" si="145"/>
        <v>-2097.884148390157</v>
      </c>
      <c r="AI131" s="44">
        <f t="shared" si="146"/>
        <v>25174.609780681883</v>
      </c>
      <c r="AJ131" s="35">
        <f t="shared" si="132"/>
        <v>24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1135.2553725035373</v>
      </c>
      <c r="AL131" s="57">
        <v>0</v>
      </c>
      <c r="AM131" s="57">
        <v>0</v>
      </c>
      <c r="AN131" s="61">
        <f t="shared" si="133"/>
        <v>24</v>
      </c>
      <c r="AO131" s="40">
        <f t="shared" si="147"/>
        <v>0</v>
      </c>
      <c r="AP131" s="40">
        <f t="shared" si="148"/>
        <v>0</v>
      </c>
      <c r="AQ131" s="44">
        <f t="shared" si="149"/>
        <v>27246.128940084895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2</v>
      </c>
      <c r="G132" s="35">
        <f>SUMIFS(WORKING!$AC$3:$AC$6802,WORKING!$A$3:$A$6802,Results!$D$3,WORKING!$B$3:$B$6802,Results!A132,WORKING!$C$3:$C$6802,Results!C132)/1000</f>
        <v>564.64844999999991</v>
      </c>
      <c r="H132" s="35">
        <f t="shared" si="134"/>
        <v>282.32422499999996</v>
      </c>
      <c r="I132" s="187">
        <v>12</v>
      </c>
      <c r="J132" s="212">
        <v>11807</v>
      </c>
      <c r="K132" s="217">
        <f t="shared" si="135"/>
        <v>983.91666666666663</v>
      </c>
      <c r="L132" s="34">
        <f t="shared" si="128"/>
        <v>12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1031.4813428892317</v>
      </c>
      <c r="N132" s="57">
        <v>0</v>
      </c>
      <c r="O132" s="57">
        <v>0</v>
      </c>
      <c r="P132" s="61">
        <f t="shared" si="129"/>
        <v>12</v>
      </c>
      <c r="Q132" s="40">
        <f t="shared" si="136"/>
        <v>0</v>
      </c>
      <c r="R132" s="40">
        <f t="shared" si="137"/>
        <v>0</v>
      </c>
      <c r="S132" s="44">
        <f t="shared" si="138"/>
        <v>12377.77611467078</v>
      </c>
      <c r="T132" s="35">
        <f t="shared" si="139"/>
        <v>12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1109.6090253503157</v>
      </c>
      <c r="V132" s="57">
        <v>0</v>
      </c>
      <c r="W132" s="57">
        <v>0</v>
      </c>
      <c r="X132" s="61">
        <f t="shared" si="130"/>
        <v>12</v>
      </c>
      <c r="Y132" s="40">
        <f t="shared" si="140"/>
        <v>0</v>
      </c>
      <c r="Z132" s="40">
        <f t="shared" si="141"/>
        <v>0</v>
      </c>
      <c r="AA132" s="44">
        <f t="shared" si="142"/>
        <v>13315.308304203789</v>
      </c>
      <c r="AB132" s="35">
        <f t="shared" si="143"/>
        <v>12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1192.5282583321505</v>
      </c>
      <c r="AD132" s="57">
        <v>0</v>
      </c>
      <c r="AE132" s="57">
        <v>0</v>
      </c>
      <c r="AF132" s="61">
        <f t="shared" si="131"/>
        <v>12</v>
      </c>
      <c r="AG132" s="40">
        <f t="shared" si="144"/>
        <v>0</v>
      </c>
      <c r="AH132" s="40">
        <f t="shared" si="145"/>
        <v>0</v>
      </c>
      <c r="AI132" s="44">
        <f t="shared" si="146"/>
        <v>14310.339099985806</v>
      </c>
      <c r="AJ132" s="35">
        <f t="shared" si="132"/>
        <v>12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1279.2234278630465</v>
      </c>
      <c r="AL132" s="57">
        <v>0</v>
      </c>
      <c r="AM132" s="57">
        <v>0</v>
      </c>
      <c r="AN132" s="61">
        <f t="shared" si="133"/>
        <v>12</v>
      </c>
      <c r="AO132" s="40">
        <f t="shared" si="147"/>
        <v>0</v>
      </c>
      <c r="AP132" s="40">
        <f t="shared" si="148"/>
        <v>0</v>
      </c>
      <c r="AQ132" s="44">
        <f t="shared" si="149"/>
        <v>15350.681134356557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4</v>
      </c>
      <c r="J133" s="212">
        <v>4734</v>
      </c>
      <c r="K133" s="217">
        <f t="shared" si="135"/>
        <v>1183.5</v>
      </c>
      <c r="L133" s="34">
        <f t="shared" si="128"/>
        <v>4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1222.5554999999999</v>
      </c>
      <c r="N133" s="57">
        <v>0</v>
      </c>
      <c r="O133" s="57">
        <v>0</v>
      </c>
      <c r="P133" s="61">
        <f t="shared" si="129"/>
        <v>4</v>
      </c>
      <c r="Q133" s="40">
        <f t="shared" si="136"/>
        <v>0</v>
      </c>
      <c r="R133" s="40">
        <f t="shared" si="137"/>
        <v>0</v>
      </c>
      <c r="S133" s="44">
        <f t="shared" si="138"/>
        <v>4890.2219999999998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1295.9088300000001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5183.6353200000003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1372.3674509699999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5489.4698038799997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1450.5923956752899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5802.3695827011597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1494</v>
      </c>
      <c r="K134" s="217">
        <f t="shared" si="135"/>
        <v>1494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1543.3019999999999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1543.3019999999999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1635.90012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1635.90012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1732.41822708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1732.41822708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1831.1660660235598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1831.1660660235598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0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>
        <v>0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>
        <v>0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>
        <v>0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15</v>
      </c>
      <c r="G140" s="41">
        <f>SUM(G120:G139)</f>
        <v>6451.36798</v>
      </c>
      <c r="H140" s="41">
        <f>IFERROR(G140/F140,0)</f>
        <v>430.09119866666668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122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71345</v>
      </c>
      <c r="K140" s="41">
        <f>IFERROR(J140/I140,"")</f>
        <v>584.79508196721315</v>
      </c>
      <c r="L140" s="41">
        <f>SUM(L120:L139)</f>
        <v>122</v>
      </c>
      <c r="M140" s="41">
        <f>IFERROR(S140/P140,0)</f>
        <v>622.59199013065393</v>
      </c>
      <c r="N140" s="41">
        <f t="shared" ref="N140:T140" si="151">SUM(N120:N139)</f>
        <v>10</v>
      </c>
      <c r="O140" s="41">
        <f t="shared" si="151"/>
        <v>0</v>
      </c>
      <c r="P140" s="41">
        <f t="shared" si="151"/>
        <v>132</v>
      </c>
      <c r="Q140" s="41">
        <f t="shared" si="151"/>
        <v>5271.8400719791698</v>
      </c>
      <c r="R140" s="41">
        <f t="shared" si="151"/>
        <v>0</v>
      </c>
      <c r="S140" s="45">
        <f t="shared" si="151"/>
        <v>82182.142697246323</v>
      </c>
      <c r="T140" s="41">
        <f t="shared" si="151"/>
        <v>132</v>
      </c>
      <c r="U140" s="41">
        <f>IFERROR(AA140/X140,0)</f>
        <v>673.02891114654699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132</v>
      </c>
      <c r="Y140" s="41">
        <f t="shared" si="152"/>
        <v>0</v>
      </c>
      <c r="Z140" s="41">
        <f t="shared" si="152"/>
        <v>0</v>
      </c>
      <c r="AA140" s="45">
        <f t="shared" si="152"/>
        <v>88839.8162713442</v>
      </c>
      <c r="AB140" s="41">
        <f t="shared" si="152"/>
        <v>132</v>
      </c>
      <c r="AC140" s="41">
        <f>IFERROR(AI140/AF140,0)</f>
        <v>723.52788103941009</v>
      </c>
      <c r="AD140" s="41">
        <f t="shared" ref="AD140:AJ140" si="153">SUM(AD120:AD139)</f>
        <v>0</v>
      </c>
      <c r="AE140" s="41">
        <f t="shared" si="153"/>
        <v>4</v>
      </c>
      <c r="AF140" s="41">
        <f t="shared" si="153"/>
        <v>128</v>
      </c>
      <c r="AG140" s="41">
        <f t="shared" si="153"/>
        <v>0</v>
      </c>
      <c r="AH140" s="41">
        <f t="shared" si="153"/>
        <v>-3340.4446176338824</v>
      </c>
      <c r="AI140" s="45">
        <f t="shared" si="153"/>
        <v>92611.568773044492</v>
      </c>
      <c r="AJ140" s="41">
        <f t="shared" si="153"/>
        <v>128</v>
      </c>
      <c r="AK140" s="41">
        <f>IFERROR(AQ140/AN140,0)</f>
        <v>779.91237154256703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128</v>
      </c>
      <c r="AO140" s="41">
        <f t="shared" si="154"/>
        <v>0</v>
      </c>
      <c r="AP140" s="41">
        <f t="shared" si="154"/>
        <v>0</v>
      </c>
      <c r="AQ140" s="45">
        <f t="shared" si="154"/>
        <v>99828.78355744858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75779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77590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83236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89561.936000000002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-6403.1426972463232</v>
      </c>
      <c r="T142" s="39"/>
      <c r="U142" s="39"/>
      <c r="V142" s="53"/>
      <c r="W142" s="53"/>
      <c r="X142" s="110"/>
      <c r="Y142" s="39"/>
      <c r="Z142" s="39"/>
      <c r="AA142" s="54">
        <f>AA141-AA140</f>
        <v>-11249.8162713442</v>
      </c>
      <c r="AB142" s="39"/>
      <c r="AC142" s="53"/>
      <c r="AD142" s="53"/>
      <c r="AE142" s="110"/>
      <c r="AF142" s="39"/>
      <c r="AG142" s="39"/>
      <c r="AH142" s="39"/>
      <c r="AI142" s="54">
        <f>AI141-AI140</f>
        <v>-9375.5687730444915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-10266.847557448578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Primary Health Care Services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6</v>
      </c>
      <c r="G149" s="35">
        <f>SUMIFS(WORKING!$AC$3:$AC$6802,WORKING!$A$3:$A$6802,Results!$D$3,WORKING!$B$3:$B$6802,Results!A149,WORKING!$C$3:$C$6802,Results!C149)/1000</f>
        <v>563.51162999999985</v>
      </c>
      <c r="H149" s="35">
        <f t="shared" ref="H149:H167" si="161">IFERROR(G149/F149,0)</f>
        <v>93.918604999999971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101.8224461405311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110.35270918889883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119.48585495380847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129.13289731527718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6</v>
      </c>
      <c r="J150" s="212">
        <v>769</v>
      </c>
      <c r="K150" s="217">
        <f t="shared" si="162"/>
        <v>128.16666666666666</v>
      </c>
      <c r="L150" s="34">
        <f t="shared" si="155"/>
        <v>6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137.62891489941637</v>
      </c>
      <c r="N150" s="57">
        <v>0</v>
      </c>
      <c r="O150" s="57">
        <v>0</v>
      </c>
      <c r="P150" s="61">
        <f t="shared" si="156"/>
        <v>6</v>
      </c>
      <c r="Q150" s="40">
        <f t="shared" si="163"/>
        <v>0</v>
      </c>
      <c r="R150" s="40">
        <f t="shared" si="164"/>
        <v>0</v>
      </c>
      <c r="S150" s="44">
        <f t="shared" si="165"/>
        <v>825.77348939649823</v>
      </c>
      <c r="T150" s="35">
        <f t="shared" si="166"/>
        <v>6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147.26749710180334</v>
      </c>
      <c r="V150" s="57">
        <v>0</v>
      </c>
      <c r="W150" s="57">
        <v>0</v>
      </c>
      <c r="X150" s="61">
        <f t="shared" si="157"/>
        <v>6</v>
      </c>
      <c r="Y150" s="40">
        <f t="shared" si="167"/>
        <v>0</v>
      </c>
      <c r="Z150" s="40">
        <f t="shared" si="168"/>
        <v>0</v>
      </c>
      <c r="AA150" s="44">
        <f t="shared" si="169"/>
        <v>883.60498261082012</v>
      </c>
      <c r="AB150" s="35">
        <f t="shared" si="170"/>
        <v>6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157.43383178337817</v>
      </c>
      <c r="AD150" s="57">
        <v>0</v>
      </c>
      <c r="AE150" s="57">
        <v>0</v>
      </c>
      <c r="AF150" s="61">
        <f t="shared" si="158"/>
        <v>6</v>
      </c>
      <c r="AG150" s="40">
        <f t="shared" si="171"/>
        <v>0</v>
      </c>
      <c r="AH150" s="40">
        <f t="shared" si="172"/>
        <v>0</v>
      </c>
      <c r="AI150" s="44">
        <f t="shared" si="173"/>
        <v>944.60299070026895</v>
      </c>
      <c r="AJ150" s="35">
        <f t="shared" si="159"/>
        <v>6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167.98711259527684</v>
      </c>
      <c r="AL150" s="57">
        <v>0</v>
      </c>
      <c r="AM150" s="57">
        <v>0</v>
      </c>
      <c r="AN150" s="61">
        <f t="shared" si="160"/>
        <v>6</v>
      </c>
      <c r="AO150" s="40">
        <f t="shared" si="174"/>
        <v>0</v>
      </c>
      <c r="AP150" s="40">
        <f t="shared" si="175"/>
        <v>0</v>
      </c>
      <c r="AQ150" s="44">
        <f t="shared" si="176"/>
        <v>1007.9226755716611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46</v>
      </c>
      <c r="G151" s="35">
        <f>SUMIFS(WORKING!$AC$3:$AC$6802,WORKING!$A$3:$A$6802,Results!$D$3,WORKING!$B$3:$B$6802,Results!A151,WORKING!$C$3:$C$6802,Results!C151)/1000</f>
        <v>7837.0907099999986</v>
      </c>
      <c r="H151" s="35">
        <f t="shared" si="161"/>
        <v>170.37153717391303</v>
      </c>
      <c r="I151" s="187">
        <v>46</v>
      </c>
      <c r="J151" s="212">
        <v>8151</v>
      </c>
      <c r="K151" s="217">
        <f t="shared" si="162"/>
        <v>177.19565217391303</v>
      </c>
      <c r="L151" s="34">
        <f t="shared" si="155"/>
        <v>46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192.34067981834377</v>
      </c>
      <c r="N151" s="57">
        <v>2</v>
      </c>
      <c r="O151" s="57">
        <v>0</v>
      </c>
      <c r="P151" s="61">
        <f t="shared" si="156"/>
        <v>48</v>
      </c>
      <c r="Q151" s="40">
        <f t="shared" si="163"/>
        <v>384.68135963668755</v>
      </c>
      <c r="R151" s="40">
        <f t="shared" si="164"/>
        <v>0</v>
      </c>
      <c r="S151" s="44">
        <f t="shared" si="165"/>
        <v>9232.3526312805006</v>
      </c>
      <c r="T151" s="35">
        <f t="shared" si="166"/>
        <v>48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208.52459252739416</v>
      </c>
      <c r="V151" s="57">
        <v>0</v>
      </c>
      <c r="W151" s="57">
        <v>0</v>
      </c>
      <c r="X151" s="61">
        <f t="shared" si="157"/>
        <v>48</v>
      </c>
      <c r="Y151" s="40">
        <f t="shared" si="167"/>
        <v>0</v>
      </c>
      <c r="Z151" s="40">
        <f t="shared" si="168"/>
        <v>0</v>
      </c>
      <c r="AA151" s="44">
        <f t="shared" si="169"/>
        <v>10009.18044131492</v>
      </c>
      <c r="AB151" s="35">
        <f t="shared" si="170"/>
        <v>48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225.85910534703183</v>
      </c>
      <c r="AD151" s="57">
        <v>0</v>
      </c>
      <c r="AE151" s="57">
        <v>0</v>
      </c>
      <c r="AF151" s="61">
        <f t="shared" si="158"/>
        <v>48</v>
      </c>
      <c r="AG151" s="40">
        <f t="shared" si="171"/>
        <v>0</v>
      </c>
      <c r="AH151" s="40">
        <f t="shared" si="172"/>
        <v>0</v>
      </c>
      <c r="AI151" s="44">
        <f t="shared" si="173"/>
        <v>10841.237056657528</v>
      </c>
      <c r="AJ151" s="35">
        <f t="shared" si="159"/>
        <v>48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244.17722960819512</v>
      </c>
      <c r="AL151" s="57">
        <v>0</v>
      </c>
      <c r="AM151" s="57">
        <v>0</v>
      </c>
      <c r="AN151" s="61">
        <f t="shared" si="160"/>
        <v>48</v>
      </c>
      <c r="AO151" s="40">
        <f t="shared" si="174"/>
        <v>0</v>
      </c>
      <c r="AP151" s="40">
        <f t="shared" si="175"/>
        <v>0</v>
      </c>
      <c r="AQ151" s="44">
        <f t="shared" si="176"/>
        <v>11720.507021193365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10</v>
      </c>
      <c r="G152" s="35">
        <f>SUMIFS(WORKING!$AC$3:$AC$6802,WORKING!$A$3:$A$6802,Results!$D$3,WORKING!$B$3:$B$6802,Results!A152,WORKING!$C$3:$C$6802,Results!C152)/1000</f>
        <v>1965.3936700000002</v>
      </c>
      <c r="H152" s="35">
        <f t="shared" si="161"/>
        <v>196.53936700000003</v>
      </c>
      <c r="I152" s="187">
        <v>20</v>
      </c>
      <c r="J152" s="212">
        <v>4238</v>
      </c>
      <c r="K152" s="217">
        <f t="shared" si="162"/>
        <v>211.9</v>
      </c>
      <c r="L152" s="34">
        <f t="shared" si="155"/>
        <v>20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230.1384520138667</v>
      </c>
      <c r="N152" s="57">
        <v>1</v>
      </c>
      <c r="O152" s="57">
        <v>1</v>
      </c>
      <c r="P152" s="61">
        <f t="shared" si="156"/>
        <v>20</v>
      </c>
      <c r="Q152" s="40">
        <f t="shared" si="163"/>
        <v>230.1384520138667</v>
      </c>
      <c r="R152" s="40">
        <f t="shared" si="164"/>
        <v>-230.1384520138667</v>
      </c>
      <c r="S152" s="44">
        <f t="shared" si="165"/>
        <v>4602.7690402773342</v>
      </c>
      <c r="T152" s="35">
        <f t="shared" si="166"/>
        <v>20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249.5406029543125</v>
      </c>
      <c r="V152" s="57">
        <v>0</v>
      </c>
      <c r="W152" s="57">
        <v>0</v>
      </c>
      <c r="X152" s="61">
        <f t="shared" si="157"/>
        <v>20</v>
      </c>
      <c r="Y152" s="40">
        <f t="shared" si="167"/>
        <v>0</v>
      </c>
      <c r="Z152" s="40">
        <f t="shared" si="168"/>
        <v>0</v>
      </c>
      <c r="AA152" s="44">
        <f t="shared" si="169"/>
        <v>4990.81205908625</v>
      </c>
      <c r="AB152" s="35">
        <f t="shared" si="170"/>
        <v>20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270.32583150907601</v>
      </c>
      <c r="AD152" s="57">
        <v>0</v>
      </c>
      <c r="AE152" s="57">
        <v>0</v>
      </c>
      <c r="AF152" s="61">
        <f t="shared" si="158"/>
        <v>20</v>
      </c>
      <c r="AG152" s="40">
        <f t="shared" si="171"/>
        <v>0</v>
      </c>
      <c r="AH152" s="40">
        <f t="shared" si="172"/>
        <v>0</v>
      </c>
      <c r="AI152" s="44">
        <f t="shared" si="173"/>
        <v>5406.5166301815207</v>
      </c>
      <c r="AJ152" s="35">
        <f t="shared" si="159"/>
        <v>20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292.29495929926622</v>
      </c>
      <c r="AL152" s="57">
        <v>0</v>
      </c>
      <c r="AM152" s="57">
        <v>0</v>
      </c>
      <c r="AN152" s="61">
        <f t="shared" si="160"/>
        <v>20</v>
      </c>
      <c r="AO152" s="40">
        <f t="shared" si="174"/>
        <v>0</v>
      </c>
      <c r="AP152" s="40">
        <f t="shared" si="175"/>
        <v>0</v>
      </c>
      <c r="AQ152" s="44">
        <f t="shared" si="176"/>
        <v>5845.8991859853249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6</v>
      </c>
      <c r="G153" s="35">
        <f>SUMIFS(WORKING!$AC$3:$AC$6802,WORKING!$A$3:$A$6802,Results!$D$3,WORKING!$B$3:$B$6802,Results!A153,WORKING!$C$3:$C$6802,Results!C153)/1000</f>
        <v>6209.2405799999997</v>
      </c>
      <c r="H153" s="35">
        <f t="shared" si="161"/>
        <v>1034.8734299999999</v>
      </c>
      <c r="I153" s="187">
        <v>15</v>
      </c>
      <c r="J153" s="212">
        <v>4128</v>
      </c>
      <c r="K153" s="217">
        <f t="shared" si="162"/>
        <v>275.2</v>
      </c>
      <c r="L153" s="34">
        <f t="shared" si="155"/>
        <v>15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300.23259511308538</v>
      </c>
      <c r="N153" s="57">
        <v>12</v>
      </c>
      <c r="O153" s="57">
        <v>0</v>
      </c>
      <c r="P153" s="61">
        <f t="shared" si="156"/>
        <v>27</v>
      </c>
      <c r="Q153" s="40">
        <f t="shared" si="163"/>
        <v>3602.7911413570246</v>
      </c>
      <c r="R153" s="40">
        <f t="shared" si="164"/>
        <v>0</v>
      </c>
      <c r="S153" s="44">
        <f t="shared" si="165"/>
        <v>8106.2800680533055</v>
      </c>
      <c r="T153" s="35">
        <f t="shared" si="166"/>
        <v>27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325.96571401533947</v>
      </c>
      <c r="V153" s="57">
        <v>0</v>
      </c>
      <c r="W153" s="57">
        <v>7</v>
      </c>
      <c r="X153" s="61">
        <f t="shared" si="157"/>
        <v>20</v>
      </c>
      <c r="Y153" s="40">
        <f t="shared" si="167"/>
        <v>0</v>
      </c>
      <c r="Z153" s="40">
        <f t="shared" si="168"/>
        <v>-2281.7599981073763</v>
      </c>
      <c r="AA153" s="44">
        <f t="shared" si="169"/>
        <v>6519.3142803067894</v>
      </c>
      <c r="AB153" s="35">
        <f t="shared" si="170"/>
        <v>20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353.57372657485666</v>
      </c>
      <c r="AD153" s="57">
        <v>0</v>
      </c>
      <c r="AE153" s="57">
        <v>0</v>
      </c>
      <c r="AF153" s="61">
        <f t="shared" si="158"/>
        <v>20</v>
      </c>
      <c r="AG153" s="40">
        <f t="shared" si="171"/>
        <v>0</v>
      </c>
      <c r="AH153" s="40">
        <f t="shared" si="172"/>
        <v>0</v>
      </c>
      <c r="AI153" s="44">
        <f t="shared" si="173"/>
        <v>7071.4745314971333</v>
      </c>
      <c r="AJ153" s="35">
        <f t="shared" si="159"/>
        <v>20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382.80259449586089</v>
      </c>
      <c r="AL153" s="57">
        <v>0</v>
      </c>
      <c r="AM153" s="57">
        <v>0</v>
      </c>
      <c r="AN153" s="61">
        <f t="shared" si="160"/>
        <v>20</v>
      </c>
      <c r="AO153" s="40">
        <f t="shared" si="174"/>
        <v>0</v>
      </c>
      <c r="AP153" s="40">
        <f t="shared" si="175"/>
        <v>0</v>
      </c>
      <c r="AQ153" s="44">
        <f t="shared" si="176"/>
        <v>7656.0518899172175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83</v>
      </c>
      <c r="G154" s="35">
        <f>SUMIFS(WORKING!$AC$3:$AC$6802,WORKING!$A$3:$A$6802,Results!$D$3,WORKING!$B$3:$B$6802,Results!A154,WORKING!$C$3:$C$6802,Results!C154)/1000</f>
        <v>27937.193079999994</v>
      </c>
      <c r="H154" s="35">
        <f t="shared" si="161"/>
        <v>336.59268771084328</v>
      </c>
      <c r="I154" s="187">
        <v>12</v>
      </c>
      <c r="J154" s="212">
        <v>3650</v>
      </c>
      <c r="K154" s="217">
        <f t="shared" si="162"/>
        <v>304.16666666666669</v>
      </c>
      <c r="L154" s="34">
        <f t="shared" si="155"/>
        <v>12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331.33848787311638</v>
      </c>
      <c r="N154" s="57">
        <v>1</v>
      </c>
      <c r="O154" s="57">
        <v>0</v>
      </c>
      <c r="P154" s="61">
        <f t="shared" si="156"/>
        <v>13</v>
      </c>
      <c r="Q154" s="40">
        <f t="shared" si="163"/>
        <v>331.33848787311638</v>
      </c>
      <c r="R154" s="40">
        <f t="shared" si="164"/>
        <v>0</v>
      </c>
      <c r="S154" s="44">
        <f t="shared" si="165"/>
        <v>4307.4003423505128</v>
      </c>
      <c r="T154" s="35">
        <f t="shared" si="166"/>
        <v>13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359.58517287459779</v>
      </c>
      <c r="V154" s="57">
        <v>0</v>
      </c>
      <c r="W154" s="57">
        <v>0</v>
      </c>
      <c r="X154" s="61">
        <f t="shared" si="157"/>
        <v>13</v>
      </c>
      <c r="Y154" s="40">
        <f t="shared" si="167"/>
        <v>0</v>
      </c>
      <c r="Z154" s="40">
        <f t="shared" si="168"/>
        <v>0</v>
      </c>
      <c r="AA154" s="44">
        <f t="shared" si="169"/>
        <v>4674.6072473697714</v>
      </c>
      <c r="AB154" s="35">
        <f t="shared" si="170"/>
        <v>13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389.87522800287161</v>
      </c>
      <c r="AD154" s="57">
        <v>0</v>
      </c>
      <c r="AE154" s="57">
        <v>0</v>
      </c>
      <c r="AF154" s="61">
        <f t="shared" si="158"/>
        <v>13</v>
      </c>
      <c r="AG154" s="40">
        <f t="shared" si="171"/>
        <v>0</v>
      </c>
      <c r="AH154" s="40">
        <f t="shared" si="172"/>
        <v>0</v>
      </c>
      <c r="AI154" s="44">
        <f t="shared" si="173"/>
        <v>5068.3779640373305</v>
      </c>
      <c r="AJ154" s="35">
        <f t="shared" si="159"/>
        <v>13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421.92603029298243</v>
      </c>
      <c r="AL154" s="57">
        <v>0</v>
      </c>
      <c r="AM154" s="57">
        <v>0</v>
      </c>
      <c r="AN154" s="61">
        <f t="shared" si="160"/>
        <v>13</v>
      </c>
      <c r="AO154" s="40">
        <f t="shared" si="174"/>
        <v>0</v>
      </c>
      <c r="AP154" s="40">
        <f t="shared" si="175"/>
        <v>0</v>
      </c>
      <c r="AQ154" s="44">
        <f t="shared" si="176"/>
        <v>5485.0383938087716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112</v>
      </c>
      <c r="G155" s="35">
        <f>SUMIFS(WORKING!$AC$3:$AC$6802,WORKING!$A$3:$A$6802,Results!$D$3,WORKING!$B$3:$B$6802,Results!A155,WORKING!$C$3:$C$6802,Results!C155)/1000</f>
        <v>41379.616099999992</v>
      </c>
      <c r="H155" s="35">
        <f t="shared" si="161"/>
        <v>369.46085803571424</v>
      </c>
      <c r="I155" s="187">
        <v>201</v>
      </c>
      <c r="J155" s="212">
        <v>75349</v>
      </c>
      <c r="K155" s="217">
        <f t="shared" si="162"/>
        <v>374.87064676616916</v>
      </c>
      <c r="L155" s="34">
        <f t="shared" si="155"/>
        <v>201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408.22927920700999</v>
      </c>
      <c r="N155" s="57">
        <v>11</v>
      </c>
      <c r="O155" s="57">
        <v>0</v>
      </c>
      <c r="P155" s="61">
        <f t="shared" si="156"/>
        <v>212</v>
      </c>
      <c r="Q155" s="40">
        <f t="shared" si="163"/>
        <v>4490.5220712771097</v>
      </c>
      <c r="R155" s="40">
        <f t="shared" si="164"/>
        <v>0</v>
      </c>
      <c r="S155" s="44">
        <f t="shared" si="165"/>
        <v>86544.607191886113</v>
      </c>
      <c r="T155" s="35">
        <f t="shared" si="166"/>
        <v>212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442.99006925963658</v>
      </c>
      <c r="V155" s="57">
        <v>0</v>
      </c>
      <c r="W155" s="57">
        <v>0</v>
      </c>
      <c r="X155" s="61">
        <f t="shared" si="157"/>
        <v>212</v>
      </c>
      <c r="Y155" s="40">
        <f t="shared" si="167"/>
        <v>0</v>
      </c>
      <c r="Z155" s="40">
        <f t="shared" si="168"/>
        <v>0</v>
      </c>
      <c r="AA155" s="44">
        <f t="shared" si="169"/>
        <v>93913.894683042949</v>
      </c>
      <c r="AB155" s="35">
        <f t="shared" si="170"/>
        <v>212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480.26159163235928</v>
      </c>
      <c r="AD155" s="57">
        <v>0</v>
      </c>
      <c r="AE155" s="57">
        <v>0</v>
      </c>
      <c r="AF155" s="61">
        <f t="shared" si="158"/>
        <v>212</v>
      </c>
      <c r="AG155" s="40">
        <f t="shared" si="171"/>
        <v>0</v>
      </c>
      <c r="AH155" s="40">
        <f t="shared" si="172"/>
        <v>0</v>
      </c>
      <c r="AI155" s="44">
        <f t="shared" si="173"/>
        <v>101815.45742606017</v>
      </c>
      <c r="AJ155" s="35">
        <f t="shared" si="159"/>
        <v>212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519.69511038037092</v>
      </c>
      <c r="AL155" s="57">
        <v>0</v>
      </c>
      <c r="AM155" s="57">
        <v>0</v>
      </c>
      <c r="AN155" s="61">
        <f t="shared" si="160"/>
        <v>212</v>
      </c>
      <c r="AO155" s="40">
        <f t="shared" si="174"/>
        <v>0</v>
      </c>
      <c r="AP155" s="40">
        <f t="shared" si="175"/>
        <v>0</v>
      </c>
      <c r="AQ155" s="44">
        <f t="shared" si="176"/>
        <v>110175.36340063864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11</v>
      </c>
      <c r="G156" s="35">
        <f>SUMIFS(WORKING!$AC$3:$AC$6802,WORKING!$A$3:$A$6802,Results!$D$3,WORKING!$B$3:$B$6802,Results!A156,WORKING!$C$3:$C$6802,Results!C156)/1000</f>
        <v>5107.1551600000012</v>
      </c>
      <c r="H156" s="35">
        <f t="shared" si="161"/>
        <v>464.28683272727284</v>
      </c>
      <c r="I156" s="187">
        <v>4</v>
      </c>
      <c r="J156" s="212">
        <v>1768</v>
      </c>
      <c r="K156" s="217">
        <f t="shared" si="162"/>
        <v>442</v>
      </c>
      <c r="L156" s="34">
        <f t="shared" si="155"/>
        <v>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481.60318921718664</v>
      </c>
      <c r="N156" s="57">
        <v>0</v>
      </c>
      <c r="O156" s="57">
        <v>0</v>
      </c>
      <c r="P156" s="61">
        <f t="shared" si="156"/>
        <v>4</v>
      </c>
      <c r="Q156" s="40">
        <f t="shared" si="163"/>
        <v>0</v>
      </c>
      <c r="R156" s="40">
        <f t="shared" si="164"/>
        <v>0</v>
      </c>
      <c r="S156" s="44">
        <f t="shared" si="165"/>
        <v>1926.4127568687466</v>
      </c>
      <c r="T156" s="35">
        <f t="shared" si="166"/>
        <v>4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522.69514493589247</v>
      </c>
      <c r="V156" s="57">
        <v>0</v>
      </c>
      <c r="W156" s="57">
        <v>0</v>
      </c>
      <c r="X156" s="61">
        <f t="shared" si="157"/>
        <v>4</v>
      </c>
      <c r="Y156" s="40">
        <f t="shared" si="167"/>
        <v>0</v>
      </c>
      <c r="Z156" s="40">
        <f t="shared" si="168"/>
        <v>0</v>
      </c>
      <c r="AA156" s="44">
        <f t="shared" si="169"/>
        <v>2090.7805797435699</v>
      </c>
      <c r="AB156" s="35">
        <f t="shared" si="170"/>
        <v>4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566.76317023426532</v>
      </c>
      <c r="AD156" s="57">
        <v>0</v>
      </c>
      <c r="AE156" s="57">
        <v>0</v>
      </c>
      <c r="AF156" s="61">
        <f t="shared" si="158"/>
        <v>4</v>
      </c>
      <c r="AG156" s="40">
        <f t="shared" si="171"/>
        <v>0</v>
      </c>
      <c r="AH156" s="40">
        <f t="shared" si="172"/>
        <v>0</v>
      </c>
      <c r="AI156" s="44">
        <f t="shared" si="173"/>
        <v>2267.0526809370613</v>
      </c>
      <c r="AJ156" s="35">
        <f t="shared" si="159"/>
        <v>4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613.39710359434298</v>
      </c>
      <c r="AL156" s="57">
        <v>0</v>
      </c>
      <c r="AM156" s="57">
        <v>0</v>
      </c>
      <c r="AN156" s="61">
        <f t="shared" si="160"/>
        <v>4</v>
      </c>
      <c r="AO156" s="40">
        <f t="shared" si="174"/>
        <v>0</v>
      </c>
      <c r="AP156" s="40">
        <f t="shared" si="175"/>
        <v>0</v>
      </c>
      <c r="AQ156" s="44">
        <f t="shared" si="176"/>
        <v>2453.5884143773719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36</v>
      </c>
      <c r="G157" s="35">
        <f>SUMIFS(WORKING!$AC$3:$AC$6802,WORKING!$A$3:$A$6802,Results!$D$3,WORKING!$B$3:$B$6802,Results!A157,WORKING!$C$3:$C$6802,Results!C157)/1000</f>
        <v>19942.941669999997</v>
      </c>
      <c r="H157" s="35">
        <f t="shared" si="161"/>
        <v>553.9706019444443</v>
      </c>
      <c r="I157" s="187">
        <v>55</v>
      </c>
      <c r="J157" s="212">
        <v>31151</v>
      </c>
      <c r="K157" s="217">
        <f t="shared" si="162"/>
        <v>566.38181818181818</v>
      </c>
      <c r="L157" s="34">
        <f t="shared" si="155"/>
        <v>55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617.32589775493932</v>
      </c>
      <c r="N157" s="57">
        <v>12</v>
      </c>
      <c r="O157" s="57">
        <v>0</v>
      </c>
      <c r="P157" s="61">
        <f t="shared" si="156"/>
        <v>67</v>
      </c>
      <c r="Q157" s="40">
        <f t="shared" si="163"/>
        <v>7407.9107730592714</v>
      </c>
      <c r="R157" s="40">
        <f t="shared" si="164"/>
        <v>0</v>
      </c>
      <c r="S157" s="44">
        <f t="shared" si="165"/>
        <v>41360.835149580933</v>
      </c>
      <c r="T157" s="35">
        <f t="shared" si="166"/>
        <v>67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670.05911960548019</v>
      </c>
      <c r="V157" s="57">
        <v>0</v>
      </c>
      <c r="W157" s="57">
        <v>0</v>
      </c>
      <c r="X157" s="61">
        <f t="shared" si="157"/>
        <v>67</v>
      </c>
      <c r="Y157" s="40">
        <f t="shared" si="167"/>
        <v>0</v>
      </c>
      <c r="Z157" s="40">
        <f t="shared" si="168"/>
        <v>0</v>
      </c>
      <c r="AA157" s="44">
        <f t="shared" si="169"/>
        <v>44893.961013567176</v>
      </c>
      <c r="AB157" s="35">
        <f t="shared" si="170"/>
        <v>67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726.61738596858618</v>
      </c>
      <c r="AD157" s="57">
        <v>0</v>
      </c>
      <c r="AE157" s="57">
        <v>1</v>
      </c>
      <c r="AF157" s="61">
        <f t="shared" si="158"/>
        <v>66</v>
      </c>
      <c r="AG157" s="40">
        <f t="shared" si="171"/>
        <v>0</v>
      </c>
      <c r="AH157" s="40">
        <f t="shared" si="172"/>
        <v>-726.61738596858618</v>
      </c>
      <c r="AI157" s="44">
        <f t="shared" si="173"/>
        <v>47956.747473926691</v>
      </c>
      <c r="AJ157" s="35">
        <f t="shared" si="159"/>
        <v>66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786.47583237353331</v>
      </c>
      <c r="AL157" s="57">
        <v>0</v>
      </c>
      <c r="AM157" s="57">
        <v>1</v>
      </c>
      <c r="AN157" s="61">
        <f t="shared" si="160"/>
        <v>65</v>
      </c>
      <c r="AO157" s="40">
        <f t="shared" si="174"/>
        <v>0</v>
      </c>
      <c r="AP157" s="40">
        <f t="shared" si="175"/>
        <v>-786.47583237353331</v>
      </c>
      <c r="AQ157" s="44">
        <f t="shared" si="176"/>
        <v>51120.929104279669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</v>
      </c>
      <c r="G158" s="35">
        <f>SUMIFS(WORKING!$AC$3:$AC$6802,WORKING!$A$3:$A$6802,Results!$D$3,WORKING!$B$3:$B$6802,Results!A158,WORKING!$C$3:$C$6802,Results!C158)/1000</f>
        <v>505.45125999999993</v>
      </c>
      <c r="H158" s="35">
        <f t="shared" si="161"/>
        <v>252.72562999999997</v>
      </c>
      <c r="I158" s="187">
        <v>0</v>
      </c>
      <c r="J158" s="212">
        <v>0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275.71701287889999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299.12268321738941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324.21198012508773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350.74822636721018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9</v>
      </c>
      <c r="G159" s="35">
        <f>SUMIFS(WORKING!$AC$3:$AC$6802,WORKING!$A$3:$A$6802,Results!$D$3,WORKING!$B$3:$B$6802,Results!A159,WORKING!$C$3:$C$6802,Results!C159)/1000</f>
        <v>6352.5075700000016</v>
      </c>
      <c r="H159" s="35">
        <f t="shared" si="161"/>
        <v>705.83417444444467</v>
      </c>
      <c r="I159" s="187">
        <v>31</v>
      </c>
      <c r="J159" s="212">
        <v>23755</v>
      </c>
      <c r="K159" s="217">
        <f t="shared" si="162"/>
        <v>766.29032258064512</v>
      </c>
      <c r="L159" s="34">
        <f t="shared" si="155"/>
        <v>31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836.62404719837764</v>
      </c>
      <c r="N159" s="57">
        <v>1</v>
      </c>
      <c r="O159" s="57">
        <v>1</v>
      </c>
      <c r="P159" s="61">
        <f t="shared" si="156"/>
        <v>31</v>
      </c>
      <c r="Q159" s="40">
        <f t="shared" si="163"/>
        <v>836.62404719837764</v>
      </c>
      <c r="R159" s="40">
        <f t="shared" si="164"/>
        <v>-836.62404719837764</v>
      </c>
      <c r="S159" s="44">
        <f t="shared" si="165"/>
        <v>25935.345463149708</v>
      </c>
      <c r="T159" s="35">
        <f t="shared" si="166"/>
        <v>31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908.31994848860529</v>
      </c>
      <c r="V159" s="57">
        <v>0</v>
      </c>
      <c r="W159" s="57">
        <v>1</v>
      </c>
      <c r="X159" s="61">
        <f t="shared" si="157"/>
        <v>30</v>
      </c>
      <c r="Y159" s="40">
        <f t="shared" si="167"/>
        <v>0</v>
      </c>
      <c r="Z159" s="40">
        <f t="shared" si="168"/>
        <v>-908.31994848860529</v>
      </c>
      <c r="AA159" s="44">
        <f t="shared" si="169"/>
        <v>27249.59845465816</v>
      </c>
      <c r="AB159" s="35">
        <f t="shared" si="170"/>
        <v>30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985.23830550742059</v>
      </c>
      <c r="AD159" s="57">
        <v>0</v>
      </c>
      <c r="AE159" s="57">
        <v>0</v>
      </c>
      <c r="AF159" s="61">
        <f t="shared" si="158"/>
        <v>30</v>
      </c>
      <c r="AG159" s="40">
        <f t="shared" si="171"/>
        <v>0</v>
      </c>
      <c r="AH159" s="40">
        <f t="shared" si="172"/>
        <v>0</v>
      </c>
      <c r="AI159" s="44">
        <f t="shared" si="173"/>
        <v>29557.149165222618</v>
      </c>
      <c r="AJ159" s="35">
        <f t="shared" si="159"/>
        <v>30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1066.670880346576</v>
      </c>
      <c r="AL159" s="57">
        <v>0</v>
      </c>
      <c r="AM159" s="57">
        <v>0</v>
      </c>
      <c r="AN159" s="61">
        <f t="shared" si="160"/>
        <v>30</v>
      </c>
      <c r="AO159" s="40">
        <f t="shared" si="174"/>
        <v>0</v>
      </c>
      <c r="AP159" s="40">
        <f t="shared" si="175"/>
        <v>0</v>
      </c>
      <c r="AQ159" s="44">
        <f t="shared" si="176"/>
        <v>32000.126410397283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947.68630999999993</v>
      </c>
      <c r="H160" s="35">
        <f t="shared" si="161"/>
        <v>0</v>
      </c>
      <c r="I160" s="187">
        <v>8</v>
      </c>
      <c r="J160" s="212">
        <v>7896</v>
      </c>
      <c r="K160" s="217">
        <f t="shared" si="162"/>
        <v>987</v>
      </c>
      <c r="L160" s="34">
        <f t="shared" si="155"/>
        <v>8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1034.5316873657291</v>
      </c>
      <c r="N160" s="57">
        <v>3</v>
      </c>
      <c r="O160" s="57">
        <v>1</v>
      </c>
      <c r="P160" s="61">
        <f t="shared" si="156"/>
        <v>10</v>
      </c>
      <c r="Q160" s="40">
        <f t="shared" si="163"/>
        <v>3103.5950620971871</v>
      </c>
      <c r="R160" s="40">
        <f t="shared" si="164"/>
        <v>-1034.5316873657291</v>
      </c>
      <c r="S160" s="44">
        <f t="shared" si="165"/>
        <v>10345.316873657292</v>
      </c>
      <c r="T160" s="35">
        <f t="shared" si="166"/>
        <v>10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1112.6946145914408</v>
      </c>
      <c r="V160" s="57">
        <v>0</v>
      </c>
      <c r="W160" s="57">
        <v>0</v>
      </c>
      <c r="X160" s="61">
        <f t="shared" si="157"/>
        <v>10</v>
      </c>
      <c r="Y160" s="40">
        <f t="shared" si="167"/>
        <v>0</v>
      </c>
      <c r="Z160" s="40">
        <f t="shared" si="168"/>
        <v>0</v>
      </c>
      <c r="AA160" s="44">
        <f t="shared" si="169"/>
        <v>11126.946145914408</v>
      </c>
      <c r="AB160" s="35">
        <f t="shared" si="170"/>
        <v>10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1195.6340358329624</v>
      </c>
      <c r="AD160" s="57">
        <v>0</v>
      </c>
      <c r="AE160" s="57">
        <v>0</v>
      </c>
      <c r="AF160" s="61">
        <f t="shared" si="158"/>
        <v>10</v>
      </c>
      <c r="AG160" s="40">
        <f t="shared" si="171"/>
        <v>0</v>
      </c>
      <c r="AH160" s="40">
        <f t="shared" si="172"/>
        <v>0</v>
      </c>
      <c r="AI160" s="44">
        <f t="shared" si="173"/>
        <v>11956.340358329624</v>
      </c>
      <c r="AJ160" s="35">
        <f t="shared" si="159"/>
        <v>10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1282.3293428963898</v>
      </c>
      <c r="AL160" s="57">
        <v>0</v>
      </c>
      <c r="AM160" s="57">
        <v>0</v>
      </c>
      <c r="AN160" s="61">
        <f t="shared" si="160"/>
        <v>10</v>
      </c>
      <c r="AO160" s="40">
        <f t="shared" si="174"/>
        <v>0</v>
      </c>
      <c r="AP160" s="40">
        <f t="shared" si="175"/>
        <v>0</v>
      </c>
      <c r="AQ160" s="44">
        <f t="shared" si="176"/>
        <v>12823.293428963898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370.29844000000003</v>
      </c>
      <c r="H161" s="35">
        <f t="shared" si="161"/>
        <v>370.29844000000003</v>
      </c>
      <c r="I161" s="187">
        <v>5</v>
      </c>
      <c r="J161" s="212">
        <v>5657</v>
      </c>
      <c r="K161" s="217">
        <f t="shared" si="162"/>
        <v>1131.4000000000001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1185.7793997870206</v>
      </c>
      <c r="N161" s="57">
        <v>0</v>
      </c>
      <c r="O161" s="57">
        <v>0</v>
      </c>
      <c r="P161" s="61">
        <f t="shared" si="156"/>
        <v>5</v>
      </c>
      <c r="Q161" s="40">
        <f t="shared" si="163"/>
        <v>0</v>
      </c>
      <c r="R161" s="40">
        <f t="shared" si="164"/>
        <v>0</v>
      </c>
      <c r="S161" s="44">
        <f t="shared" si="165"/>
        <v>5928.8969989351026</v>
      </c>
      <c r="T161" s="35">
        <f t="shared" si="166"/>
        <v>5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1275.2554015669425</v>
      </c>
      <c r="V161" s="57">
        <v>0</v>
      </c>
      <c r="W161" s="57">
        <v>0</v>
      </c>
      <c r="X161" s="61">
        <f t="shared" si="157"/>
        <v>5</v>
      </c>
      <c r="Y161" s="40">
        <f t="shared" si="167"/>
        <v>0</v>
      </c>
      <c r="Z161" s="40">
        <f t="shared" si="168"/>
        <v>0</v>
      </c>
      <c r="AA161" s="44">
        <f t="shared" si="169"/>
        <v>6376.277007834713</v>
      </c>
      <c r="AB161" s="35">
        <f t="shared" si="170"/>
        <v>5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1370.1891908022287</v>
      </c>
      <c r="AD161" s="57">
        <v>0</v>
      </c>
      <c r="AE161" s="57">
        <v>0</v>
      </c>
      <c r="AF161" s="61">
        <f t="shared" si="158"/>
        <v>5</v>
      </c>
      <c r="AG161" s="40">
        <f t="shared" si="171"/>
        <v>0</v>
      </c>
      <c r="AH161" s="40">
        <f t="shared" si="172"/>
        <v>0</v>
      </c>
      <c r="AI161" s="44">
        <f t="shared" si="173"/>
        <v>6850.9459540111438</v>
      </c>
      <c r="AJ161" s="35">
        <f t="shared" si="159"/>
        <v>5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1469.4097922963156</v>
      </c>
      <c r="AL161" s="57">
        <v>0</v>
      </c>
      <c r="AM161" s="57">
        <v>0</v>
      </c>
      <c r="AN161" s="61">
        <f t="shared" si="160"/>
        <v>5</v>
      </c>
      <c r="AO161" s="40">
        <f t="shared" si="174"/>
        <v>0</v>
      </c>
      <c r="AP161" s="40">
        <f t="shared" si="175"/>
        <v>0</v>
      </c>
      <c r="AQ161" s="44">
        <f t="shared" si="176"/>
        <v>7347.0489614815779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1</v>
      </c>
      <c r="J162" s="212">
        <v>1214</v>
      </c>
      <c r="K162" s="217">
        <f t="shared" si="162"/>
        <v>1214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1254.0619999999999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1254.0619999999999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1329.3057200000001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1329.3057200000001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1407.7347574800001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1407.7347574800001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1487.9756386563599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1487.9756386563599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0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>
        <v>0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>
        <v>0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>
        <v>0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322</v>
      </c>
      <c r="G168" s="41">
        <f>SUM(G148:G167)</f>
        <v>119118.08617999998</v>
      </c>
      <c r="H168" s="41">
        <f>IFERROR(G168/F168,0)</f>
        <v>369.93194465838502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404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167726</v>
      </c>
      <c r="K168" s="41">
        <f>IFERROR(J168/I168,"")</f>
        <v>415.16336633663366</v>
      </c>
      <c r="L168" s="41">
        <f>SUM(L148:L167)</f>
        <v>404</v>
      </c>
      <c r="M168" s="41">
        <f>IFERROR(S168/P168,0)</f>
        <v>451.28390091314418</v>
      </c>
      <c r="N168" s="41">
        <f t="shared" ref="N168:T168" si="177">SUM(N148:N167)</f>
        <v>43</v>
      </c>
      <c r="O168" s="41">
        <f t="shared" si="177"/>
        <v>3</v>
      </c>
      <c r="P168" s="41">
        <f t="shared" si="177"/>
        <v>444</v>
      </c>
      <c r="Q168" s="41">
        <f t="shared" si="177"/>
        <v>20387.60139451264</v>
      </c>
      <c r="R168" s="41">
        <f t="shared" si="177"/>
        <v>-2101.2941865779735</v>
      </c>
      <c r="S168" s="45">
        <f t="shared" si="177"/>
        <v>200370.05200543601</v>
      </c>
      <c r="T168" s="41">
        <f t="shared" si="177"/>
        <v>444</v>
      </c>
      <c r="U168" s="41">
        <f>IFERROR(AA168/X168,0)</f>
        <v>490.95936379690266</v>
      </c>
      <c r="V168" s="41">
        <f t="shared" ref="V168:AB168" si="178">SUM(V148:V167)</f>
        <v>0</v>
      </c>
      <c r="W168" s="41">
        <f t="shared" si="178"/>
        <v>8</v>
      </c>
      <c r="X168" s="41">
        <f t="shared" si="178"/>
        <v>436</v>
      </c>
      <c r="Y168" s="41">
        <f t="shared" si="178"/>
        <v>0</v>
      </c>
      <c r="Z168" s="41">
        <f t="shared" si="178"/>
        <v>-3190.0799465959817</v>
      </c>
      <c r="AA168" s="45">
        <f t="shared" si="178"/>
        <v>214058.28261544957</v>
      </c>
      <c r="AB168" s="41">
        <f t="shared" si="178"/>
        <v>436</v>
      </c>
      <c r="AC168" s="41">
        <f>IFERROR(AI168/AF168,0)</f>
        <v>531.3646827334278</v>
      </c>
      <c r="AD168" s="41">
        <f t="shared" ref="AD168:AJ168" si="179">SUM(AD148:AD167)</f>
        <v>0</v>
      </c>
      <c r="AE168" s="41">
        <f t="shared" si="179"/>
        <v>1</v>
      </c>
      <c r="AF168" s="41">
        <f t="shared" si="179"/>
        <v>435</v>
      </c>
      <c r="AG168" s="41">
        <f t="shared" si="179"/>
        <v>0</v>
      </c>
      <c r="AH168" s="41">
        <f t="shared" si="179"/>
        <v>-726.61738596858618</v>
      </c>
      <c r="AI168" s="45">
        <f t="shared" si="179"/>
        <v>231143.63698904109</v>
      </c>
      <c r="AJ168" s="41">
        <f t="shared" si="179"/>
        <v>435</v>
      </c>
      <c r="AK168" s="41">
        <f>IFERROR(AQ168/AN168,0)</f>
        <v>574.01784452827451</v>
      </c>
      <c r="AL168" s="41">
        <f t="shared" ref="AL168:AQ168" si="180">SUM(AL148:AL167)</f>
        <v>0</v>
      </c>
      <c r="AM168" s="41">
        <f t="shared" si="180"/>
        <v>1</v>
      </c>
      <c r="AN168" s="41">
        <f t="shared" si="180"/>
        <v>434</v>
      </c>
      <c r="AO168" s="41">
        <f t="shared" si="180"/>
        <v>0</v>
      </c>
      <c r="AP168" s="41">
        <f t="shared" si="180"/>
        <v>-786.47583237353331</v>
      </c>
      <c r="AQ168" s="45">
        <f t="shared" si="180"/>
        <v>249123.74452527112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215633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211609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229425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246861.30000000002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15262.947994563991</v>
      </c>
      <c r="T170" s="39"/>
      <c r="U170" s="39"/>
      <c r="V170" s="53"/>
      <c r="W170" s="53"/>
      <c r="X170" s="110"/>
      <c r="Y170" s="39"/>
      <c r="Z170" s="39"/>
      <c r="AA170" s="54">
        <f>AA169-AA168</f>
        <v>-2449.2826154495706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-1718.6369890410861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-2262.4445252711012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Hospitals, Tertiary Health Services and Human Resource Development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34.0991</v>
      </c>
      <c r="H176" s="35">
        <f>IFERROR(G176/F176,0)</f>
        <v>0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12</v>
      </c>
      <c r="J178" s="212">
        <v>1512</v>
      </c>
      <c r="K178" s="217">
        <f t="shared" si="188"/>
        <v>126</v>
      </c>
      <c r="L178" s="34">
        <f t="shared" si="181"/>
        <v>12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135.30228824962131</v>
      </c>
      <c r="N178" s="57">
        <v>0</v>
      </c>
      <c r="O178" s="57">
        <v>0</v>
      </c>
      <c r="P178" s="61">
        <f t="shared" si="182"/>
        <v>12</v>
      </c>
      <c r="Q178" s="40">
        <f t="shared" si="189"/>
        <v>0</v>
      </c>
      <c r="R178" s="40">
        <f t="shared" si="190"/>
        <v>0</v>
      </c>
      <c r="S178" s="44">
        <f t="shared" si="191"/>
        <v>1623.6274589954558</v>
      </c>
      <c r="T178" s="35">
        <f t="shared" si="192"/>
        <v>12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144.7779295305115</v>
      </c>
      <c r="V178" s="57">
        <v>0</v>
      </c>
      <c r="W178" s="57">
        <v>0</v>
      </c>
      <c r="X178" s="61">
        <f t="shared" si="183"/>
        <v>12</v>
      </c>
      <c r="Y178" s="40">
        <f t="shared" si="193"/>
        <v>0</v>
      </c>
      <c r="Z178" s="40">
        <f t="shared" si="194"/>
        <v>0</v>
      </c>
      <c r="AA178" s="44">
        <f t="shared" si="195"/>
        <v>1737.3351543661379</v>
      </c>
      <c r="AB178" s="35">
        <f t="shared" si="196"/>
        <v>12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154.77240159718323</v>
      </c>
      <c r="AD178" s="57">
        <v>0</v>
      </c>
      <c r="AE178" s="57">
        <v>1</v>
      </c>
      <c r="AF178" s="61">
        <f t="shared" si="184"/>
        <v>11</v>
      </c>
      <c r="AG178" s="40">
        <f t="shared" si="197"/>
        <v>0</v>
      </c>
      <c r="AH178" s="40">
        <f t="shared" si="198"/>
        <v>-154.77240159718323</v>
      </c>
      <c r="AI178" s="44">
        <f t="shared" si="199"/>
        <v>1702.4964175690156</v>
      </c>
      <c r="AJ178" s="35">
        <f t="shared" si="185"/>
        <v>11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165.14727844217074</v>
      </c>
      <c r="AL178" s="57">
        <v>0</v>
      </c>
      <c r="AM178" s="57">
        <v>0</v>
      </c>
      <c r="AN178" s="61">
        <f t="shared" si="186"/>
        <v>11</v>
      </c>
      <c r="AO178" s="40">
        <f t="shared" si="200"/>
        <v>0</v>
      </c>
      <c r="AP178" s="40">
        <f t="shared" si="201"/>
        <v>0</v>
      </c>
      <c r="AQ178" s="44">
        <f t="shared" si="202"/>
        <v>1816.6200628638783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10</v>
      </c>
      <c r="J179" s="212">
        <v>1434</v>
      </c>
      <c r="K179" s="217">
        <f t="shared" si="188"/>
        <v>143.4</v>
      </c>
      <c r="L179" s="34">
        <f t="shared" si="181"/>
        <v>10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153.98688996028332</v>
      </c>
      <c r="N179" s="57">
        <v>0</v>
      </c>
      <c r="O179" s="57">
        <v>0</v>
      </c>
      <c r="P179" s="61">
        <f t="shared" si="182"/>
        <v>10</v>
      </c>
      <c r="Q179" s="40">
        <f t="shared" si="189"/>
        <v>0</v>
      </c>
      <c r="R179" s="40">
        <f t="shared" si="190"/>
        <v>0</v>
      </c>
      <c r="S179" s="44">
        <f t="shared" si="191"/>
        <v>1539.8688996028332</v>
      </c>
      <c r="T179" s="35">
        <f t="shared" si="192"/>
        <v>10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164.77107217996311</v>
      </c>
      <c r="V179" s="57">
        <v>0</v>
      </c>
      <c r="W179" s="57">
        <v>0</v>
      </c>
      <c r="X179" s="61">
        <f t="shared" si="183"/>
        <v>10</v>
      </c>
      <c r="Y179" s="40">
        <f t="shared" si="193"/>
        <v>0</v>
      </c>
      <c r="Z179" s="40">
        <f t="shared" si="194"/>
        <v>0</v>
      </c>
      <c r="AA179" s="44">
        <f t="shared" si="195"/>
        <v>1647.7107217996311</v>
      </c>
      <c r="AB179" s="35">
        <f t="shared" si="196"/>
        <v>10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176.14573324631809</v>
      </c>
      <c r="AD179" s="57">
        <v>0</v>
      </c>
      <c r="AE179" s="57">
        <v>0</v>
      </c>
      <c r="AF179" s="61">
        <f t="shared" si="184"/>
        <v>10</v>
      </c>
      <c r="AG179" s="40">
        <f t="shared" si="197"/>
        <v>0</v>
      </c>
      <c r="AH179" s="40">
        <f t="shared" si="198"/>
        <v>0</v>
      </c>
      <c r="AI179" s="44">
        <f t="shared" si="199"/>
        <v>1761.4573324631808</v>
      </c>
      <c r="AJ179" s="35">
        <f t="shared" si="185"/>
        <v>10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187.95333117942292</v>
      </c>
      <c r="AL179" s="57">
        <v>0</v>
      </c>
      <c r="AM179" s="57">
        <v>0</v>
      </c>
      <c r="AN179" s="61">
        <f t="shared" si="186"/>
        <v>10</v>
      </c>
      <c r="AO179" s="40">
        <f t="shared" si="200"/>
        <v>0</v>
      </c>
      <c r="AP179" s="40">
        <f t="shared" si="201"/>
        <v>0</v>
      </c>
      <c r="AQ179" s="44">
        <f t="shared" si="202"/>
        <v>1879.5333117942291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10</v>
      </c>
      <c r="J180" s="212">
        <v>1765</v>
      </c>
      <c r="K180" s="217">
        <f t="shared" si="188"/>
        <v>176.5</v>
      </c>
      <c r="L180" s="34">
        <f t="shared" si="181"/>
        <v>10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189.53058631792192</v>
      </c>
      <c r="N180" s="57">
        <v>0</v>
      </c>
      <c r="O180" s="57">
        <v>1</v>
      </c>
      <c r="P180" s="61">
        <f t="shared" si="182"/>
        <v>9</v>
      </c>
      <c r="Q180" s="40">
        <f t="shared" si="189"/>
        <v>0</v>
      </c>
      <c r="R180" s="40">
        <f t="shared" si="190"/>
        <v>-189.53058631792192</v>
      </c>
      <c r="S180" s="44">
        <f t="shared" si="191"/>
        <v>1705.7752768612972</v>
      </c>
      <c r="T180" s="35">
        <f t="shared" si="192"/>
        <v>9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202.80400446139112</v>
      </c>
      <c r="V180" s="57">
        <v>0</v>
      </c>
      <c r="W180" s="57">
        <v>0</v>
      </c>
      <c r="X180" s="61">
        <f t="shared" si="183"/>
        <v>9</v>
      </c>
      <c r="Y180" s="40">
        <f t="shared" si="193"/>
        <v>0</v>
      </c>
      <c r="Z180" s="40">
        <f t="shared" si="194"/>
        <v>0</v>
      </c>
      <c r="AA180" s="44">
        <f t="shared" si="195"/>
        <v>1825.23604015252</v>
      </c>
      <c r="AB180" s="35">
        <f t="shared" si="196"/>
        <v>9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216.80419747541939</v>
      </c>
      <c r="AD180" s="57">
        <v>0</v>
      </c>
      <c r="AE180" s="57">
        <v>0</v>
      </c>
      <c r="AF180" s="61">
        <f t="shared" si="184"/>
        <v>9</v>
      </c>
      <c r="AG180" s="40">
        <f t="shared" si="197"/>
        <v>0</v>
      </c>
      <c r="AH180" s="40">
        <f t="shared" si="198"/>
        <v>0</v>
      </c>
      <c r="AI180" s="44">
        <f t="shared" si="199"/>
        <v>1951.2377772787745</v>
      </c>
      <c r="AJ180" s="35">
        <f t="shared" si="185"/>
        <v>9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231.33725908764396</v>
      </c>
      <c r="AL180" s="57">
        <v>0</v>
      </c>
      <c r="AM180" s="57">
        <v>0</v>
      </c>
      <c r="AN180" s="61">
        <f t="shared" si="186"/>
        <v>9</v>
      </c>
      <c r="AO180" s="40">
        <f t="shared" si="200"/>
        <v>0</v>
      </c>
      <c r="AP180" s="40">
        <f t="shared" si="201"/>
        <v>0</v>
      </c>
      <c r="AQ180" s="44">
        <f t="shared" si="202"/>
        <v>2082.0353317887957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>
        <v>36</v>
      </c>
      <c r="J181" s="212">
        <v>8238</v>
      </c>
      <c r="K181" s="217">
        <f t="shared" si="188"/>
        <v>228.83333333333334</v>
      </c>
      <c r="L181" s="34">
        <f t="shared" si="181"/>
        <v>36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245.72756847451069</v>
      </c>
      <c r="N181" s="57">
        <v>10</v>
      </c>
      <c r="O181" s="57">
        <v>0</v>
      </c>
      <c r="P181" s="61">
        <f t="shared" si="182"/>
        <v>46</v>
      </c>
      <c r="Q181" s="40">
        <f t="shared" si="189"/>
        <v>2457.2756847451069</v>
      </c>
      <c r="R181" s="40">
        <f t="shared" si="190"/>
        <v>0</v>
      </c>
      <c r="S181" s="44">
        <f t="shared" si="191"/>
        <v>11303.468149827491</v>
      </c>
      <c r="T181" s="35">
        <f t="shared" si="192"/>
        <v>46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262.93663656797924</v>
      </c>
      <c r="V181" s="57">
        <v>0</v>
      </c>
      <c r="W181" s="57">
        <v>0</v>
      </c>
      <c r="X181" s="61">
        <f t="shared" si="183"/>
        <v>46</v>
      </c>
      <c r="Y181" s="40">
        <f t="shared" si="193"/>
        <v>0</v>
      </c>
      <c r="Z181" s="40">
        <f t="shared" si="194"/>
        <v>0</v>
      </c>
      <c r="AA181" s="44">
        <f t="shared" si="195"/>
        <v>12095.085282127046</v>
      </c>
      <c r="AB181" s="35">
        <f t="shared" si="196"/>
        <v>46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281.08797274197434</v>
      </c>
      <c r="AD181" s="57">
        <v>0</v>
      </c>
      <c r="AE181" s="57">
        <v>0</v>
      </c>
      <c r="AF181" s="61">
        <f t="shared" si="184"/>
        <v>46</v>
      </c>
      <c r="AG181" s="40">
        <f t="shared" si="197"/>
        <v>0</v>
      </c>
      <c r="AH181" s="40">
        <f t="shared" si="198"/>
        <v>0</v>
      </c>
      <c r="AI181" s="44">
        <f t="shared" si="199"/>
        <v>12930.04674613082</v>
      </c>
      <c r="AJ181" s="35">
        <f t="shared" si="185"/>
        <v>46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299.93017632420697</v>
      </c>
      <c r="AL181" s="57">
        <v>0</v>
      </c>
      <c r="AM181" s="57">
        <v>1</v>
      </c>
      <c r="AN181" s="61">
        <f t="shared" si="186"/>
        <v>45</v>
      </c>
      <c r="AO181" s="40">
        <f t="shared" si="200"/>
        <v>0</v>
      </c>
      <c r="AP181" s="40">
        <f t="shared" si="201"/>
        <v>-299.93017632420697</v>
      </c>
      <c r="AQ181" s="44">
        <f t="shared" si="202"/>
        <v>13496.857934589314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>
        <v>10</v>
      </c>
      <c r="J182" s="212">
        <v>2771</v>
      </c>
      <c r="K182" s="217">
        <f t="shared" si="188"/>
        <v>277.10000000000002</v>
      </c>
      <c r="L182" s="34">
        <f t="shared" si="181"/>
        <v>10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297.55765138071484</v>
      </c>
      <c r="N182" s="57">
        <v>2</v>
      </c>
      <c r="O182" s="57">
        <v>0</v>
      </c>
      <c r="P182" s="61">
        <f t="shared" si="182"/>
        <v>12</v>
      </c>
      <c r="Q182" s="40">
        <f t="shared" si="189"/>
        <v>595.11530276142969</v>
      </c>
      <c r="R182" s="40">
        <f t="shared" si="190"/>
        <v>0</v>
      </c>
      <c r="S182" s="44">
        <f t="shared" si="191"/>
        <v>3570.6918165685784</v>
      </c>
      <c r="T182" s="35">
        <f t="shared" si="192"/>
        <v>12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318.39654184845034</v>
      </c>
      <c r="V182" s="57">
        <v>0</v>
      </c>
      <c r="W182" s="57">
        <v>1</v>
      </c>
      <c r="X182" s="61">
        <f t="shared" si="183"/>
        <v>11</v>
      </c>
      <c r="Y182" s="40">
        <f t="shared" si="193"/>
        <v>0</v>
      </c>
      <c r="Z182" s="40">
        <f t="shared" si="194"/>
        <v>-318.39654184845034</v>
      </c>
      <c r="AA182" s="44">
        <f t="shared" si="195"/>
        <v>3502.3619603329539</v>
      </c>
      <c r="AB182" s="35">
        <f t="shared" si="196"/>
        <v>11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340.37644827444029</v>
      </c>
      <c r="AD182" s="57">
        <v>0</v>
      </c>
      <c r="AE182" s="57">
        <v>0</v>
      </c>
      <c r="AF182" s="61">
        <f t="shared" si="184"/>
        <v>11</v>
      </c>
      <c r="AG182" s="40">
        <f t="shared" si="197"/>
        <v>0</v>
      </c>
      <c r="AH182" s="40">
        <f t="shared" si="198"/>
        <v>0</v>
      </c>
      <c r="AI182" s="44">
        <f t="shared" si="199"/>
        <v>3744.1409310188433</v>
      </c>
      <c r="AJ182" s="35">
        <f t="shared" si="185"/>
        <v>11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363.19294330417074</v>
      </c>
      <c r="AL182" s="57">
        <v>0</v>
      </c>
      <c r="AM182" s="57">
        <v>0</v>
      </c>
      <c r="AN182" s="61">
        <f t="shared" si="186"/>
        <v>11</v>
      </c>
      <c r="AO182" s="40">
        <f t="shared" si="200"/>
        <v>0</v>
      </c>
      <c r="AP182" s="40">
        <f t="shared" si="201"/>
        <v>0</v>
      </c>
      <c r="AQ182" s="44">
        <f t="shared" si="202"/>
        <v>3995.1223763458784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>
        <v>124</v>
      </c>
      <c r="J183" s="212">
        <v>40958</v>
      </c>
      <c r="K183" s="217">
        <f t="shared" si="188"/>
        <v>330.30645161290323</v>
      </c>
      <c r="L183" s="34">
        <f t="shared" si="181"/>
        <v>124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354.69221211776693</v>
      </c>
      <c r="N183" s="57">
        <v>1</v>
      </c>
      <c r="O183" s="57">
        <v>0</v>
      </c>
      <c r="P183" s="61">
        <f t="shared" si="182"/>
        <v>125</v>
      </c>
      <c r="Q183" s="40">
        <f t="shared" si="189"/>
        <v>354.69221211776693</v>
      </c>
      <c r="R183" s="40">
        <f t="shared" si="190"/>
        <v>0</v>
      </c>
      <c r="S183" s="44">
        <f t="shared" si="191"/>
        <v>44336.526514720863</v>
      </c>
      <c r="T183" s="35">
        <f t="shared" si="192"/>
        <v>125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379.53241408798584</v>
      </c>
      <c r="V183" s="57">
        <v>0</v>
      </c>
      <c r="W183" s="57">
        <v>0</v>
      </c>
      <c r="X183" s="61">
        <f t="shared" si="183"/>
        <v>125</v>
      </c>
      <c r="Y183" s="40">
        <f t="shared" si="193"/>
        <v>0</v>
      </c>
      <c r="Z183" s="40">
        <f t="shared" si="194"/>
        <v>0</v>
      </c>
      <c r="AA183" s="44">
        <f t="shared" si="195"/>
        <v>47441.551760998227</v>
      </c>
      <c r="AB183" s="35">
        <f t="shared" si="196"/>
        <v>125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405.73272046962569</v>
      </c>
      <c r="AD183" s="57">
        <v>0</v>
      </c>
      <c r="AE183" s="57">
        <v>0</v>
      </c>
      <c r="AF183" s="61">
        <f t="shared" si="184"/>
        <v>125</v>
      </c>
      <c r="AG183" s="40">
        <f t="shared" si="197"/>
        <v>0</v>
      </c>
      <c r="AH183" s="40">
        <f t="shared" si="198"/>
        <v>0</v>
      </c>
      <c r="AI183" s="44">
        <f t="shared" si="199"/>
        <v>50716.590058703208</v>
      </c>
      <c r="AJ183" s="35">
        <f t="shared" si="185"/>
        <v>125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432.93025028382169</v>
      </c>
      <c r="AL183" s="57">
        <v>0</v>
      </c>
      <c r="AM183" s="57">
        <v>0</v>
      </c>
      <c r="AN183" s="61">
        <f t="shared" si="186"/>
        <v>125</v>
      </c>
      <c r="AO183" s="40">
        <f t="shared" si="200"/>
        <v>0</v>
      </c>
      <c r="AP183" s="40">
        <f t="shared" si="201"/>
        <v>0</v>
      </c>
      <c r="AQ183" s="44">
        <f t="shared" si="202"/>
        <v>54116.281285477715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>
        <v>0</v>
      </c>
      <c r="J184" s="212">
        <v>0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>
        <v>34</v>
      </c>
      <c r="J185" s="212">
        <v>17547</v>
      </c>
      <c r="K185" s="217">
        <f t="shared" si="188"/>
        <v>516.08823529411768</v>
      </c>
      <c r="L185" s="34">
        <f t="shared" si="181"/>
        <v>34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554.18983471431034</v>
      </c>
      <c r="N185" s="57">
        <v>3</v>
      </c>
      <c r="O185" s="57">
        <v>0</v>
      </c>
      <c r="P185" s="61">
        <f t="shared" si="182"/>
        <v>37</v>
      </c>
      <c r="Q185" s="40">
        <f t="shared" si="189"/>
        <v>1662.569504142931</v>
      </c>
      <c r="R185" s="40">
        <f t="shared" si="190"/>
        <v>0</v>
      </c>
      <c r="S185" s="44">
        <f t="shared" si="191"/>
        <v>20505.023884429484</v>
      </c>
      <c r="T185" s="35">
        <f t="shared" si="192"/>
        <v>37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593.00147746776042</v>
      </c>
      <c r="V185" s="57">
        <v>0</v>
      </c>
      <c r="W185" s="57">
        <v>1</v>
      </c>
      <c r="X185" s="61">
        <f t="shared" si="183"/>
        <v>36</v>
      </c>
      <c r="Y185" s="40">
        <f t="shared" si="193"/>
        <v>0</v>
      </c>
      <c r="Z185" s="40">
        <f t="shared" si="194"/>
        <v>-593.00147746776042</v>
      </c>
      <c r="AA185" s="44">
        <f t="shared" si="195"/>
        <v>21348.053188839374</v>
      </c>
      <c r="AB185" s="35">
        <f t="shared" si="196"/>
        <v>36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633.93821914700618</v>
      </c>
      <c r="AD185" s="57">
        <v>0</v>
      </c>
      <c r="AE185" s="57">
        <v>0</v>
      </c>
      <c r="AF185" s="61">
        <f t="shared" si="184"/>
        <v>36</v>
      </c>
      <c r="AG185" s="40">
        <f t="shared" si="197"/>
        <v>0</v>
      </c>
      <c r="AH185" s="40">
        <f t="shared" si="198"/>
        <v>0</v>
      </c>
      <c r="AI185" s="44">
        <f t="shared" si="199"/>
        <v>22821.775889292221</v>
      </c>
      <c r="AJ185" s="35">
        <f t="shared" si="185"/>
        <v>36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676.43307535592214</v>
      </c>
      <c r="AL185" s="57">
        <v>0</v>
      </c>
      <c r="AM185" s="57">
        <v>0</v>
      </c>
      <c r="AN185" s="61">
        <f t="shared" si="186"/>
        <v>36</v>
      </c>
      <c r="AO185" s="40">
        <f t="shared" si="200"/>
        <v>0</v>
      </c>
      <c r="AP185" s="40">
        <f t="shared" si="201"/>
        <v>0</v>
      </c>
      <c r="AQ185" s="44">
        <f t="shared" si="202"/>
        <v>24351.590712813198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>
        <v>14</v>
      </c>
      <c r="J186" s="212">
        <v>5051</v>
      </c>
      <c r="K186" s="217">
        <f t="shared" si="188"/>
        <v>360.78571428571428</v>
      </c>
      <c r="L186" s="34">
        <f t="shared" si="181"/>
        <v>14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388.20542857142857</v>
      </c>
      <c r="N186" s="57">
        <v>26</v>
      </c>
      <c r="O186" s="57">
        <v>0</v>
      </c>
      <c r="P186" s="61">
        <f t="shared" si="182"/>
        <v>40</v>
      </c>
      <c r="Q186" s="40">
        <f t="shared" si="189"/>
        <v>10093.341142857143</v>
      </c>
      <c r="R186" s="40">
        <f t="shared" si="190"/>
        <v>0</v>
      </c>
      <c r="S186" s="44">
        <f t="shared" si="191"/>
        <v>15528.217142857142</v>
      </c>
      <c r="T186" s="35">
        <f t="shared" si="192"/>
        <v>40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415.37980857142861</v>
      </c>
      <c r="V186" s="57">
        <v>0</v>
      </c>
      <c r="W186" s="57">
        <v>38</v>
      </c>
      <c r="X186" s="61">
        <f t="shared" si="183"/>
        <v>2</v>
      </c>
      <c r="Y186" s="40">
        <f t="shared" si="193"/>
        <v>0</v>
      </c>
      <c r="Z186" s="40">
        <f t="shared" si="194"/>
        <v>-15784.432725714287</v>
      </c>
      <c r="AA186" s="44">
        <f t="shared" si="195"/>
        <v>830.75961714285722</v>
      </c>
      <c r="AB186" s="35">
        <f t="shared" si="196"/>
        <v>2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444.04101536285714</v>
      </c>
      <c r="AD186" s="57">
        <v>0</v>
      </c>
      <c r="AE186" s="57">
        <v>0</v>
      </c>
      <c r="AF186" s="61">
        <f t="shared" si="184"/>
        <v>2</v>
      </c>
      <c r="AG186" s="40">
        <f t="shared" si="197"/>
        <v>0</v>
      </c>
      <c r="AH186" s="40">
        <f t="shared" si="198"/>
        <v>0</v>
      </c>
      <c r="AI186" s="44">
        <f t="shared" si="199"/>
        <v>888.08203072571428</v>
      </c>
      <c r="AJ186" s="35">
        <f t="shared" si="185"/>
        <v>2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473.79176339216855</v>
      </c>
      <c r="AL186" s="57">
        <v>0</v>
      </c>
      <c r="AM186" s="57">
        <v>0</v>
      </c>
      <c r="AN186" s="61">
        <f t="shared" si="186"/>
        <v>2</v>
      </c>
      <c r="AO186" s="40">
        <f t="shared" si="200"/>
        <v>0</v>
      </c>
      <c r="AP186" s="40">
        <f t="shared" si="201"/>
        <v>0</v>
      </c>
      <c r="AQ186" s="44">
        <f t="shared" si="202"/>
        <v>947.5835267843371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>
        <v>24</v>
      </c>
      <c r="J187" s="212">
        <v>16309</v>
      </c>
      <c r="K187" s="217">
        <f t="shared" si="188"/>
        <v>679.54166666666663</v>
      </c>
      <c r="L187" s="34">
        <f t="shared" si="181"/>
        <v>24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731.18683333333331</v>
      </c>
      <c r="N187" s="57">
        <v>2</v>
      </c>
      <c r="O187" s="57">
        <v>1</v>
      </c>
      <c r="P187" s="61">
        <f t="shared" si="182"/>
        <v>25</v>
      </c>
      <c r="Q187" s="40">
        <f t="shared" si="189"/>
        <v>1462.3736666666666</v>
      </c>
      <c r="R187" s="40">
        <f t="shared" si="190"/>
        <v>-731.18683333333331</v>
      </c>
      <c r="S187" s="44">
        <f t="shared" si="191"/>
        <v>18279.670833333334</v>
      </c>
      <c r="T187" s="35">
        <f t="shared" si="192"/>
        <v>25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782.36991166666667</v>
      </c>
      <c r="V187" s="57">
        <v>0</v>
      </c>
      <c r="W187" s="57">
        <v>0</v>
      </c>
      <c r="X187" s="61">
        <f t="shared" si="183"/>
        <v>25</v>
      </c>
      <c r="Y187" s="40">
        <f t="shared" si="193"/>
        <v>0</v>
      </c>
      <c r="Z187" s="40">
        <f t="shared" si="194"/>
        <v>0</v>
      </c>
      <c r="AA187" s="44">
        <f t="shared" si="195"/>
        <v>19559.247791666668</v>
      </c>
      <c r="AB187" s="35">
        <f t="shared" si="196"/>
        <v>25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836.35343557166664</v>
      </c>
      <c r="AD187" s="57">
        <v>0</v>
      </c>
      <c r="AE187" s="57">
        <v>0</v>
      </c>
      <c r="AF187" s="61">
        <f t="shared" si="184"/>
        <v>25</v>
      </c>
      <c r="AG187" s="40">
        <f t="shared" si="197"/>
        <v>0</v>
      </c>
      <c r="AH187" s="40">
        <f t="shared" si="198"/>
        <v>0</v>
      </c>
      <c r="AI187" s="44">
        <f t="shared" si="199"/>
        <v>20908.835889291666</v>
      </c>
      <c r="AJ187" s="35">
        <f t="shared" si="185"/>
        <v>25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892.3891157549682</v>
      </c>
      <c r="AL187" s="57">
        <v>0</v>
      </c>
      <c r="AM187" s="57">
        <v>0</v>
      </c>
      <c r="AN187" s="61">
        <f t="shared" si="186"/>
        <v>25</v>
      </c>
      <c r="AO187" s="40">
        <f t="shared" si="200"/>
        <v>0</v>
      </c>
      <c r="AP187" s="40">
        <f t="shared" si="201"/>
        <v>0</v>
      </c>
      <c r="AQ187" s="44">
        <f t="shared" si="202"/>
        <v>22309.727893874206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>
        <v>14</v>
      </c>
      <c r="J188" s="212">
        <v>12017</v>
      </c>
      <c r="K188" s="217">
        <f t="shared" si="188"/>
        <v>858.35714285714289</v>
      </c>
      <c r="L188" s="34">
        <f t="shared" si="181"/>
        <v>14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886.68292857142853</v>
      </c>
      <c r="N188" s="57">
        <v>2</v>
      </c>
      <c r="O188" s="57">
        <v>0</v>
      </c>
      <c r="P188" s="61">
        <f t="shared" si="182"/>
        <v>16</v>
      </c>
      <c r="Q188" s="40">
        <f t="shared" si="189"/>
        <v>1773.3658571428571</v>
      </c>
      <c r="R188" s="40">
        <f t="shared" si="190"/>
        <v>0</v>
      </c>
      <c r="S188" s="44">
        <f t="shared" si="191"/>
        <v>14186.926857142857</v>
      </c>
      <c r="T188" s="35">
        <f t="shared" si="192"/>
        <v>16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939.88390428571427</v>
      </c>
      <c r="V188" s="57">
        <v>0</v>
      </c>
      <c r="W188" s="57">
        <v>0</v>
      </c>
      <c r="X188" s="61">
        <f t="shared" si="183"/>
        <v>16</v>
      </c>
      <c r="Y188" s="40">
        <f t="shared" si="193"/>
        <v>0</v>
      </c>
      <c r="Z188" s="40">
        <f t="shared" si="194"/>
        <v>0</v>
      </c>
      <c r="AA188" s="44">
        <f t="shared" si="195"/>
        <v>15038.142468571428</v>
      </c>
      <c r="AB188" s="35">
        <f t="shared" si="196"/>
        <v>16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995.33705463857132</v>
      </c>
      <c r="AD188" s="57">
        <v>0</v>
      </c>
      <c r="AE188" s="57">
        <v>0</v>
      </c>
      <c r="AF188" s="61">
        <f t="shared" si="184"/>
        <v>16</v>
      </c>
      <c r="AG188" s="40">
        <f t="shared" si="197"/>
        <v>0</v>
      </c>
      <c r="AH188" s="40">
        <f t="shared" si="198"/>
        <v>0</v>
      </c>
      <c r="AI188" s="44">
        <f t="shared" si="199"/>
        <v>15925.392874217141</v>
      </c>
      <c r="AJ188" s="35">
        <f t="shared" si="185"/>
        <v>16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1052.0712667529699</v>
      </c>
      <c r="AL188" s="57">
        <v>0</v>
      </c>
      <c r="AM188" s="57">
        <v>1</v>
      </c>
      <c r="AN188" s="61">
        <f t="shared" si="186"/>
        <v>15</v>
      </c>
      <c r="AO188" s="40">
        <f t="shared" si="200"/>
        <v>0</v>
      </c>
      <c r="AP188" s="40">
        <f t="shared" si="201"/>
        <v>-1052.0712667529699</v>
      </c>
      <c r="AQ188" s="44">
        <f t="shared" si="202"/>
        <v>15781.069001294549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>
        <v>2</v>
      </c>
      <c r="J189" s="212">
        <v>2074</v>
      </c>
      <c r="K189" s="217">
        <f t="shared" si="188"/>
        <v>1037</v>
      </c>
      <c r="L189" s="34">
        <f t="shared" si="181"/>
        <v>2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1071.221</v>
      </c>
      <c r="N189" s="57">
        <v>3</v>
      </c>
      <c r="O189" s="57">
        <v>0</v>
      </c>
      <c r="P189" s="61">
        <f t="shared" si="182"/>
        <v>5</v>
      </c>
      <c r="Q189" s="40">
        <f t="shared" si="189"/>
        <v>3213.663</v>
      </c>
      <c r="R189" s="40">
        <f t="shared" si="190"/>
        <v>0</v>
      </c>
      <c r="S189" s="44">
        <f t="shared" si="191"/>
        <v>5356.1049999999996</v>
      </c>
      <c r="T189" s="35">
        <f t="shared" si="192"/>
        <v>5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1135.4942600000002</v>
      </c>
      <c r="V189" s="57">
        <v>0</v>
      </c>
      <c r="W189" s="57">
        <v>0</v>
      </c>
      <c r="X189" s="61">
        <f t="shared" si="183"/>
        <v>5</v>
      </c>
      <c r="Y189" s="40">
        <f t="shared" si="193"/>
        <v>0</v>
      </c>
      <c r="Z189" s="40">
        <f t="shared" si="194"/>
        <v>0</v>
      </c>
      <c r="AA189" s="44">
        <f t="shared" si="195"/>
        <v>5677.4713000000011</v>
      </c>
      <c r="AB189" s="35">
        <f t="shared" si="196"/>
        <v>5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1202.4884213400001</v>
      </c>
      <c r="AD189" s="57">
        <v>0</v>
      </c>
      <c r="AE189" s="57">
        <v>0</v>
      </c>
      <c r="AF189" s="61">
        <f t="shared" si="184"/>
        <v>5</v>
      </c>
      <c r="AG189" s="40">
        <f t="shared" si="197"/>
        <v>0</v>
      </c>
      <c r="AH189" s="40">
        <f t="shared" si="198"/>
        <v>0</v>
      </c>
      <c r="AI189" s="44">
        <f t="shared" si="199"/>
        <v>6012.4421067000003</v>
      </c>
      <c r="AJ189" s="35">
        <f t="shared" si="185"/>
        <v>5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1271.0302613563799</v>
      </c>
      <c r="AL189" s="57">
        <v>0</v>
      </c>
      <c r="AM189" s="57">
        <v>0</v>
      </c>
      <c r="AN189" s="61">
        <f t="shared" si="186"/>
        <v>5</v>
      </c>
      <c r="AO189" s="40">
        <f t="shared" si="200"/>
        <v>0</v>
      </c>
      <c r="AP189" s="40">
        <f t="shared" si="201"/>
        <v>0</v>
      </c>
      <c r="AQ189" s="44">
        <f t="shared" si="202"/>
        <v>6355.1513067818996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>
        <v>1</v>
      </c>
      <c r="J190" s="212">
        <v>1198</v>
      </c>
      <c r="K190" s="217">
        <f t="shared" si="188"/>
        <v>1198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1237.5339999999999</v>
      </c>
      <c r="N190" s="57">
        <v>0</v>
      </c>
      <c r="O190" s="57">
        <v>1</v>
      </c>
      <c r="P190" s="61">
        <f t="shared" si="182"/>
        <v>0</v>
      </c>
      <c r="Q190" s="40">
        <f t="shared" si="189"/>
        <v>0</v>
      </c>
      <c r="R190" s="40">
        <f t="shared" si="190"/>
        <v>-1237.5339999999999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1311.78604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1389.18141636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1468.3647570925198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>
        <v>0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>
        <v>0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>
        <v>0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>
        <v>0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34.0991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291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110874</v>
      </c>
      <c r="K196" s="41">
        <f>IFERROR(J196/I196,"")</f>
        <v>381.01030927835052</v>
      </c>
      <c r="L196" s="41">
        <f>SUM(L176:L195)</f>
        <v>291</v>
      </c>
      <c r="M196" s="41">
        <f>IFERROR(S196/P196,0)</f>
        <v>409.30534668943432</v>
      </c>
      <c r="N196" s="41">
        <f t="shared" ref="N196:T196" si="203">SUM(N176:N195)</f>
        <v>49</v>
      </c>
      <c r="O196" s="41">
        <f t="shared" si="203"/>
        <v>3</v>
      </c>
      <c r="P196" s="41">
        <f t="shared" si="203"/>
        <v>337</v>
      </c>
      <c r="Q196" s="41">
        <f t="shared" si="203"/>
        <v>21612.3963704339</v>
      </c>
      <c r="R196" s="41">
        <f t="shared" si="203"/>
        <v>-2158.2514196512552</v>
      </c>
      <c r="S196" s="45">
        <f t="shared" si="203"/>
        <v>137935.90183433937</v>
      </c>
      <c r="T196" s="41">
        <f t="shared" si="203"/>
        <v>337</v>
      </c>
      <c r="U196" s="41">
        <f>IFERROR(AA196/X196,0)</f>
        <v>440.07729052524195</v>
      </c>
      <c r="V196" s="41">
        <f t="shared" ref="V196:AB196" si="204">SUM(V176:V195)</f>
        <v>0</v>
      </c>
      <c r="W196" s="41">
        <f t="shared" si="204"/>
        <v>40</v>
      </c>
      <c r="X196" s="41">
        <f t="shared" si="204"/>
        <v>297</v>
      </c>
      <c r="Y196" s="41">
        <f t="shared" si="204"/>
        <v>0</v>
      </c>
      <c r="Z196" s="41">
        <f t="shared" si="204"/>
        <v>-16695.830745030496</v>
      </c>
      <c r="AA196" s="45">
        <f t="shared" si="204"/>
        <v>130702.95528599685</v>
      </c>
      <c r="AB196" s="41">
        <f t="shared" si="204"/>
        <v>297</v>
      </c>
      <c r="AC196" s="41">
        <f>IFERROR(AI196/AF196,0)</f>
        <v>470.81925018037373</v>
      </c>
      <c r="AD196" s="41">
        <f t="shared" ref="AD196:AJ196" si="205">SUM(AD176:AD195)</f>
        <v>0</v>
      </c>
      <c r="AE196" s="41">
        <f t="shared" si="205"/>
        <v>1</v>
      </c>
      <c r="AF196" s="41">
        <f t="shared" si="205"/>
        <v>296</v>
      </c>
      <c r="AG196" s="41">
        <f t="shared" si="205"/>
        <v>0</v>
      </c>
      <c r="AH196" s="41">
        <f t="shared" si="205"/>
        <v>-154.77240159718323</v>
      </c>
      <c r="AI196" s="45">
        <f t="shared" si="205"/>
        <v>139362.49805339062</v>
      </c>
      <c r="AJ196" s="41">
        <f t="shared" si="205"/>
        <v>296</v>
      </c>
      <c r="AK196" s="41">
        <f>IFERROR(AQ196/AN196,0)</f>
        <v>500.44752634152377</v>
      </c>
      <c r="AL196" s="41">
        <f t="shared" ref="AL196:AQ196" si="206">SUM(AL176:AL195)</f>
        <v>0</v>
      </c>
      <c r="AM196" s="41">
        <f t="shared" si="206"/>
        <v>2</v>
      </c>
      <c r="AN196" s="41">
        <f t="shared" si="206"/>
        <v>294</v>
      </c>
      <c r="AO196" s="41">
        <f t="shared" si="206"/>
        <v>0</v>
      </c>
      <c r="AP196" s="41">
        <f t="shared" si="206"/>
        <v>-1352.0014430771769</v>
      </c>
      <c r="AQ196" s="45">
        <f t="shared" si="206"/>
        <v>147131.57274440798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131726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136168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145094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156121.144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-6209.9018343393691</v>
      </c>
      <c r="T198" s="39"/>
      <c r="U198" s="39"/>
      <c r="V198" s="53"/>
      <c r="W198" s="53"/>
      <c r="X198" s="110"/>
      <c r="Y198" s="39"/>
      <c r="Z198" s="39"/>
      <c r="AA198" s="54">
        <f>AA197-AA196</f>
        <v>5465.0447140031465</v>
      </c>
      <c r="AB198" s="39"/>
      <c r="AC198" s="53"/>
      <c r="AD198" s="53"/>
      <c r="AE198" s="110"/>
      <c r="AF198" s="39"/>
      <c r="AG198" s="39"/>
      <c r="AH198" s="39"/>
      <c r="AI198" s="54">
        <f>AI197-AI196</f>
        <v>5731.50194660938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8989.5712555920181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Health Regulation and Compliance Management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>
        <v>0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>
        <v>0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1</v>
      </c>
      <c r="G206" s="35">
        <f>SUMIFS(WORKING!$AC$3:$AC$6802,WORKING!$A$3:$A$6802,Results!$D$3,WORKING!$B$3:$B$6802,Results!A206,WORKING!$C$3:$C$6802,Results!C206)/1000</f>
        <v>167.08064000000002</v>
      </c>
      <c r="H206" s="35">
        <f t="shared" si="213"/>
        <v>167.08064000000002</v>
      </c>
      <c r="I206" s="187">
        <v>11</v>
      </c>
      <c r="J206" s="212">
        <v>1188</v>
      </c>
      <c r="K206" s="217">
        <f t="shared" si="214"/>
        <v>108</v>
      </c>
      <c r="L206" s="34">
        <f t="shared" si="207"/>
        <v>11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117.10267432699561</v>
      </c>
      <c r="N206" s="57">
        <v>0</v>
      </c>
      <c r="O206" s="57">
        <v>0</v>
      </c>
      <c r="P206" s="61">
        <f t="shared" si="208"/>
        <v>11</v>
      </c>
      <c r="Q206" s="40">
        <f t="shared" si="215"/>
        <v>0</v>
      </c>
      <c r="R206" s="40">
        <f t="shared" si="216"/>
        <v>0</v>
      </c>
      <c r="S206" s="44">
        <f t="shared" si="217"/>
        <v>1288.1294175969517</v>
      </c>
      <c r="T206" s="35">
        <f t="shared" si="218"/>
        <v>11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126.91355254666941</v>
      </c>
      <c r="V206" s="57">
        <v>0</v>
      </c>
      <c r="W206" s="57">
        <v>0</v>
      </c>
      <c r="X206" s="61">
        <f t="shared" si="209"/>
        <v>11</v>
      </c>
      <c r="Y206" s="40">
        <f t="shared" si="219"/>
        <v>0</v>
      </c>
      <c r="Z206" s="40">
        <f t="shared" si="220"/>
        <v>0</v>
      </c>
      <c r="AA206" s="44">
        <f t="shared" si="221"/>
        <v>1396.0490780133634</v>
      </c>
      <c r="AB206" s="35">
        <f t="shared" si="222"/>
        <v>11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137.41804655705982</v>
      </c>
      <c r="AD206" s="57">
        <v>0</v>
      </c>
      <c r="AE206" s="57">
        <v>0</v>
      </c>
      <c r="AF206" s="61">
        <f t="shared" si="210"/>
        <v>11</v>
      </c>
      <c r="AG206" s="40">
        <f t="shared" si="223"/>
        <v>0</v>
      </c>
      <c r="AH206" s="40">
        <f t="shared" si="224"/>
        <v>0</v>
      </c>
      <c r="AI206" s="44">
        <f t="shared" si="225"/>
        <v>1511.5985121276581</v>
      </c>
      <c r="AJ206" s="35">
        <f t="shared" si="211"/>
        <v>11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148.51405873200252</v>
      </c>
      <c r="AL206" s="57">
        <v>0</v>
      </c>
      <c r="AM206" s="57">
        <v>0</v>
      </c>
      <c r="AN206" s="61">
        <f t="shared" si="212"/>
        <v>11</v>
      </c>
      <c r="AO206" s="40">
        <f t="shared" si="226"/>
        <v>0</v>
      </c>
      <c r="AP206" s="40">
        <f t="shared" si="227"/>
        <v>0</v>
      </c>
      <c r="AQ206" s="44">
        <f t="shared" si="228"/>
        <v>1633.6546460520278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>
        <v>9</v>
      </c>
      <c r="J207" s="212">
        <v>1125</v>
      </c>
      <c r="K207" s="217">
        <f t="shared" si="214"/>
        <v>125</v>
      </c>
      <c r="L207" s="34">
        <f t="shared" si="207"/>
        <v>9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134.22846056510051</v>
      </c>
      <c r="N207" s="57">
        <v>0</v>
      </c>
      <c r="O207" s="57">
        <v>0</v>
      </c>
      <c r="P207" s="61">
        <f t="shared" si="208"/>
        <v>9</v>
      </c>
      <c r="Q207" s="40">
        <f t="shared" si="215"/>
        <v>0</v>
      </c>
      <c r="R207" s="40">
        <f t="shared" si="216"/>
        <v>0</v>
      </c>
      <c r="S207" s="44">
        <f t="shared" si="217"/>
        <v>1208.0561450859045</v>
      </c>
      <c r="T207" s="35">
        <f t="shared" si="218"/>
        <v>9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143.62889834376139</v>
      </c>
      <c r="V207" s="57">
        <v>0</v>
      </c>
      <c r="W207" s="57">
        <v>0</v>
      </c>
      <c r="X207" s="61">
        <f t="shared" si="209"/>
        <v>9</v>
      </c>
      <c r="Y207" s="40">
        <f t="shared" si="219"/>
        <v>0</v>
      </c>
      <c r="Z207" s="40">
        <f t="shared" si="220"/>
        <v>0</v>
      </c>
      <c r="AA207" s="44">
        <f t="shared" si="221"/>
        <v>1292.6600850938526</v>
      </c>
      <c r="AB207" s="35">
        <f t="shared" si="222"/>
        <v>9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153.54404920355478</v>
      </c>
      <c r="AD207" s="57">
        <v>0</v>
      </c>
      <c r="AE207" s="57">
        <v>0</v>
      </c>
      <c r="AF207" s="61">
        <f t="shared" si="210"/>
        <v>9</v>
      </c>
      <c r="AG207" s="40">
        <f t="shared" si="223"/>
        <v>0</v>
      </c>
      <c r="AH207" s="40">
        <f t="shared" si="224"/>
        <v>0</v>
      </c>
      <c r="AI207" s="44">
        <f t="shared" si="225"/>
        <v>1381.896442831993</v>
      </c>
      <c r="AJ207" s="35">
        <f t="shared" si="211"/>
        <v>9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163.83658575612174</v>
      </c>
      <c r="AL207" s="57">
        <v>0</v>
      </c>
      <c r="AM207" s="57">
        <v>0</v>
      </c>
      <c r="AN207" s="61">
        <f t="shared" si="212"/>
        <v>9</v>
      </c>
      <c r="AO207" s="40">
        <f t="shared" si="226"/>
        <v>0</v>
      </c>
      <c r="AP207" s="40">
        <f t="shared" si="227"/>
        <v>0</v>
      </c>
      <c r="AQ207" s="44">
        <f t="shared" si="228"/>
        <v>1474.5292718050955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3</v>
      </c>
      <c r="G208" s="35">
        <f>SUMIFS(WORKING!$AC$3:$AC$6802,WORKING!$A$3:$A$6802,Results!$D$3,WORKING!$B$3:$B$6802,Results!A208,WORKING!$C$3:$C$6802,Results!C208)/1000</f>
        <v>613.45498999999995</v>
      </c>
      <c r="H208" s="35">
        <f t="shared" si="213"/>
        <v>204.48499666666666</v>
      </c>
      <c r="I208" s="187">
        <v>100</v>
      </c>
      <c r="J208" s="212">
        <v>15058</v>
      </c>
      <c r="K208" s="217">
        <f t="shared" si="214"/>
        <v>150.58000000000001</v>
      </c>
      <c r="L208" s="34">
        <f t="shared" si="207"/>
        <v>100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163.50174953649844</v>
      </c>
      <c r="N208" s="57">
        <v>3</v>
      </c>
      <c r="O208" s="57">
        <v>1</v>
      </c>
      <c r="P208" s="61">
        <f t="shared" si="208"/>
        <v>102</v>
      </c>
      <c r="Q208" s="40">
        <f t="shared" si="215"/>
        <v>490.50524860949531</v>
      </c>
      <c r="R208" s="40">
        <f t="shared" si="216"/>
        <v>-163.50174953649844</v>
      </c>
      <c r="S208" s="44">
        <f t="shared" si="217"/>
        <v>16677.178452722841</v>
      </c>
      <c r="T208" s="35">
        <f t="shared" si="218"/>
        <v>102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177.2750799702041</v>
      </c>
      <c r="V208" s="57">
        <v>0</v>
      </c>
      <c r="W208" s="57">
        <v>64</v>
      </c>
      <c r="X208" s="61">
        <f t="shared" si="209"/>
        <v>38</v>
      </c>
      <c r="Y208" s="40">
        <f t="shared" si="219"/>
        <v>0</v>
      </c>
      <c r="Z208" s="40">
        <f t="shared" si="220"/>
        <v>-11345.605118093063</v>
      </c>
      <c r="AA208" s="44">
        <f t="shared" si="221"/>
        <v>6736.4530388677558</v>
      </c>
      <c r="AB208" s="35">
        <f t="shared" si="222"/>
        <v>38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192.02914957291301</v>
      </c>
      <c r="AD208" s="57">
        <v>0</v>
      </c>
      <c r="AE208" s="57">
        <v>1</v>
      </c>
      <c r="AF208" s="61">
        <f t="shared" si="210"/>
        <v>37</v>
      </c>
      <c r="AG208" s="40">
        <f t="shared" si="223"/>
        <v>0</v>
      </c>
      <c r="AH208" s="40">
        <f t="shared" si="224"/>
        <v>-192.02914957291301</v>
      </c>
      <c r="AI208" s="44">
        <f t="shared" si="225"/>
        <v>7105.0785341977817</v>
      </c>
      <c r="AJ208" s="35">
        <f t="shared" si="211"/>
        <v>37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207.62223101162772</v>
      </c>
      <c r="AL208" s="57">
        <v>0</v>
      </c>
      <c r="AM208" s="57">
        <v>0</v>
      </c>
      <c r="AN208" s="61">
        <f t="shared" si="212"/>
        <v>37</v>
      </c>
      <c r="AO208" s="40">
        <f t="shared" si="226"/>
        <v>0</v>
      </c>
      <c r="AP208" s="40">
        <f t="shared" si="227"/>
        <v>0</v>
      </c>
      <c r="AQ208" s="44">
        <f t="shared" si="228"/>
        <v>7682.022547430226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4</v>
      </c>
      <c r="G209" s="35">
        <f>SUMIFS(WORKING!$AC$3:$AC$6802,WORKING!$A$3:$A$6802,Results!$D$3,WORKING!$B$3:$B$6802,Results!A209,WORKING!$C$3:$C$6802,Results!C209)/1000</f>
        <v>994.74652000000003</v>
      </c>
      <c r="H209" s="35">
        <f t="shared" si="213"/>
        <v>248.68663000000001</v>
      </c>
      <c r="I209" s="187">
        <v>37</v>
      </c>
      <c r="J209" s="212">
        <v>7523</v>
      </c>
      <c r="K209" s="217">
        <f t="shared" si="214"/>
        <v>203.32432432432432</v>
      </c>
      <c r="L209" s="34">
        <f t="shared" si="207"/>
        <v>37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221.25011050719701</v>
      </c>
      <c r="N209" s="57">
        <v>2</v>
      </c>
      <c r="O209" s="57">
        <v>1</v>
      </c>
      <c r="P209" s="61">
        <f t="shared" si="208"/>
        <v>38</v>
      </c>
      <c r="Q209" s="40">
        <f t="shared" si="215"/>
        <v>442.50022101439401</v>
      </c>
      <c r="R209" s="40">
        <f t="shared" si="216"/>
        <v>-221.25011050719701</v>
      </c>
      <c r="S209" s="44">
        <f t="shared" si="217"/>
        <v>8407.5041992734859</v>
      </c>
      <c r="T209" s="35">
        <f t="shared" si="218"/>
        <v>38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240.0344065546947</v>
      </c>
      <c r="V209" s="57">
        <v>0</v>
      </c>
      <c r="W209" s="57">
        <v>14</v>
      </c>
      <c r="X209" s="61">
        <f t="shared" si="209"/>
        <v>24</v>
      </c>
      <c r="Y209" s="40">
        <f t="shared" si="219"/>
        <v>0</v>
      </c>
      <c r="Z209" s="40">
        <f t="shared" si="220"/>
        <v>-3360.4816917657258</v>
      </c>
      <c r="AA209" s="44">
        <f t="shared" si="221"/>
        <v>5760.825757312673</v>
      </c>
      <c r="AB209" s="35">
        <f t="shared" si="222"/>
        <v>24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260.1703470081008</v>
      </c>
      <c r="AD209" s="57">
        <v>0</v>
      </c>
      <c r="AE209" s="57">
        <v>0</v>
      </c>
      <c r="AF209" s="61">
        <f t="shared" si="210"/>
        <v>24</v>
      </c>
      <c r="AG209" s="40">
        <f t="shared" si="223"/>
        <v>0</v>
      </c>
      <c r="AH209" s="40">
        <f t="shared" si="224"/>
        <v>0</v>
      </c>
      <c r="AI209" s="44">
        <f t="shared" si="225"/>
        <v>6244.0883281944189</v>
      </c>
      <c r="AJ209" s="35">
        <f t="shared" si="211"/>
        <v>24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281.46833798598982</v>
      </c>
      <c r="AL209" s="57">
        <v>0</v>
      </c>
      <c r="AM209" s="57">
        <v>0</v>
      </c>
      <c r="AN209" s="61">
        <f t="shared" si="212"/>
        <v>24</v>
      </c>
      <c r="AO209" s="40">
        <f t="shared" si="226"/>
        <v>0</v>
      </c>
      <c r="AP209" s="40">
        <f t="shared" si="227"/>
        <v>0</v>
      </c>
      <c r="AQ209" s="44">
        <f t="shared" si="228"/>
        <v>6755.2401116637557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2</v>
      </c>
      <c r="G210" s="35">
        <f>SUMIFS(WORKING!$AC$3:$AC$6802,WORKING!$A$3:$A$6802,Results!$D$3,WORKING!$B$3:$B$6802,Results!A210,WORKING!$C$3:$C$6802,Results!C210)/1000</f>
        <v>451.49253999999996</v>
      </c>
      <c r="H210" s="35">
        <f t="shared" si="213"/>
        <v>225.74626999999998</v>
      </c>
      <c r="I210" s="187">
        <v>23</v>
      </c>
      <c r="J210" s="212">
        <v>5519</v>
      </c>
      <c r="K210" s="217">
        <f t="shared" si="214"/>
        <v>239.95652173913044</v>
      </c>
      <c r="L210" s="34">
        <f t="shared" si="207"/>
        <v>23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261.06973867883397</v>
      </c>
      <c r="N210" s="57">
        <v>2</v>
      </c>
      <c r="O210" s="57">
        <v>4</v>
      </c>
      <c r="P210" s="61">
        <f t="shared" si="208"/>
        <v>21</v>
      </c>
      <c r="Q210" s="40">
        <f t="shared" si="215"/>
        <v>522.13947735766794</v>
      </c>
      <c r="R210" s="40">
        <f t="shared" si="216"/>
        <v>-1044.2789547153359</v>
      </c>
      <c r="S210" s="44">
        <f t="shared" si="217"/>
        <v>5482.464512255513</v>
      </c>
      <c r="T210" s="35">
        <f t="shared" si="218"/>
        <v>21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283.22693076147192</v>
      </c>
      <c r="V210" s="57">
        <v>0</v>
      </c>
      <c r="W210" s="57">
        <v>10</v>
      </c>
      <c r="X210" s="61">
        <f t="shared" si="209"/>
        <v>11</v>
      </c>
      <c r="Y210" s="40">
        <f t="shared" si="219"/>
        <v>0</v>
      </c>
      <c r="Z210" s="40">
        <f t="shared" si="220"/>
        <v>-2832.2693076147193</v>
      </c>
      <c r="AA210" s="44">
        <f t="shared" si="221"/>
        <v>3115.4962383761913</v>
      </c>
      <c r="AB210" s="35">
        <f t="shared" si="222"/>
        <v>11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306.97746625079793</v>
      </c>
      <c r="AD210" s="57">
        <v>0</v>
      </c>
      <c r="AE210" s="57">
        <v>0</v>
      </c>
      <c r="AF210" s="61">
        <f t="shared" si="210"/>
        <v>11</v>
      </c>
      <c r="AG210" s="40">
        <f t="shared" si="223"/>
        <v>0</v>
      </c>
      <c r="AH210" s="40">
        <f t="shared" si="224"/>
        <v>0</v>
      </c>
      <c r="AI210" s="44">
        <f t="shared" si="225"/>
        <v>3376.7521287587774</v>
      </c>
      <c r="AJ210" s="35">
        <f t="shared" si="211"/>
        <v>11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332.09717896859257</v>
      </c>
      <c r="AL210" s="57">
        <v>0</v>
      </c>
      <c r="AM210" s="57">
        <v>0</v>
      </c>
      <c r="AN210" s="61">
        <f t="shared" si="212"/>
        <v>11</v>
      </c>
      <c r="AO210" s="40">
        <f t="shared" si="226"/>
        <v>0</v>
      </c>
      <c r="AP210" s="40">
        <f t="shared" si="227"/>
        <v>0</v>
      </c>
      <c r="AQ210" s="44">
        <f t="shared" si="228"/>
        <v>3653.0689686545184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3</v>
      </c>
      <c r="G211" s="35">
        <f>SUMIFS(WORKING!$AC$3:$AC$6802,WORKING!$A$3:$A$6802,Results!$D$3,WORKING!$B$3:$B$6802,Results!A211,WORKING!$C$3:$C$6802,Results!C211)/1000</f>
        <v>1075.34673</v>
      </c>
      <c r="H211" s="35">
        <f t="shared" si="213"/>
        <v>358.44891000000001</v>
      </c>
      <c r="I211" s="187">
        <v>23</v>
      </c>
      <c r="J211" s="212">
        <v>6592</v>
      </c>
      <c r="K211" s="217">
        <f t="shared" si="214"/>
        <v>286.60869565217394</v>
      </c>
      <c r="L211" s="34">
        <f t="shared" si="207"/>
        <v>23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312.00872926505605</v>
      </c>
      <c r="N211" s="57">
        <v>3</v>
      </c>
      <c r="O211" s="57">
        <v>4</v>
      </c>
      <c r="P211" s="61">
        <f t="shared" si="208"/>
        <v>22</v>
      </c>
      <c r="Q211" s="40">
        <f t="shared" si="215"/>
        <v>936.0261877951682</v>
      </c>
      <c r="R211" s="40">
        <f t="shared" si="216"/>
        <v>-1248.0349170602242</v>
      </c>
      <c r="S211" s="44">
        <f t="shared" si="217"/>
        <v>6864.1920438312327</v>
      </c>
      <c r="T211" s="35">
        <f t="shared" si="218"/>
        <v>22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338.54272981665912</v>
      </c>
      <c r="V211" s="57">
        <v>0</v>
      </c>
      <c r="W211" s="57">
        <v>8</v>
      </c>
      <c r="X211" s="61">
        <f t="shared" si="209"/>
        <v>14</v>
      </c>
      <c r="Y211" s="40">
        <f t="shared" si="219"/>
        <v>0</v>
      </c>
      <c r="Z211" s="40">
        <f t="shared" si="220"/>
        <v>-2708.3418385332729</v>
      </c>
      <c r="AA211" s="44">
        <f t="shared" si="221"/>
        <v>4739.5982174332275</v>
      </c>
      <c r="AB211" s="35">
        <f t="shared" si="222"/>
        <v>14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366.990097183952</v>
      </c>
      <c r="AD211" s="57">
        <v>0</v>
      </c>
      <c r="AE211" s="57">
        <v>0</v>
      </c>
      <c r="AF211" s="61">
        <f t="shared" si="210"/>
        <v>14</v>
      </c>
      <c r="AG211" s="40">
        <f t="shared" si="223"/>
        <v>0</v>
      </c>
      <c r="AH211" s="40">
        <f t="shared" si="224"/>
        <v>0</v>
      </c>
      <c r="AI211" s="44">
        <f t="shared" si="225"/>
        <v>5137.861360575328</v>
      </c>
      <c r="AJ211" s="35">
        <f t="shared" si="211"/>
        <v>14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397.08389435257095</v>
      </c>
      <c r="AL211" s="57">
        <v>0</v>
      </c>
      <c r="AM211" s="57">
        <v>0</v>
      </c>
      <c r="AN211" s="61">
        <f t="shared" si="212"/>
        <v>14</v>
      </c>
      <c r="AO211" s="40">
        <f t="shared" si="226"/>
        <v>0</v>
      </c>
      <c r="AP211" s="40">
        <f t="shared" si="227"/>
        <v>0</v>
      </c>
      <c r="AQ211" s="44">
        <f t="shared" si="228"/>
        <v>5559.1745209359933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1</v>
      </c>
      <c r="G212" s="35">
        <f>SUMIFS(WORKING!$AC$3:$AC$6802,WORKING!$A$3:$A$6802,Results!$D$3,WORKING!$B$3:$B$6802,Results!A212,WORKING!$C$3:$C$6802,Results!C212)/1000</f>
        <v>448.80586999999997</v>
      </c>
      <c r="H212" s="35">
        <f t="shared" si="213"/>
        <v>448.80586999999997</v>
      </c>
      <c r="I212" s="187">
        <v>3</v>
      </c>
      <c r="J212" s="212">
        <v>1130</v>
      </c>
      <c r="K212" s="217">
        <f t="shared" si="214"/>
        <v>376.66666666666669</v>
      </c>
      <c r="L212" s="34">
        <f t="shared" si="207"/>
        <v>3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410.79382033616378</v>
      </c>
      <c r="N212" s="57">
        <v>1</v>
      </c>
      <c r="O212" s="57">
        <v>0</v>
      </c>
      <c r="P212" s="61">
        <f t="shared" si="208"/>
        <v>4</v>
      </c>
      <c r="Q212" s="40">
        <f t="shared" si="215"/>
        <v>410.79382033616378</v>
      </c>
      <c r="R212" s="40">
        <f t="shared" si="216"/>
        <v>0</v>
      </c>
      <c r="S212" s="44">
        <f t="shared" si="217"/>
        <v>1643.1752813446551</v>
      </c>
      <c r="T212" s="35">
        <f t="shared" si="218"/>
        <v>4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445.96212217088805</v>
      </c>
      <c r="V212" s="57">
        <v>0</v>
      </c>
      <c r="W212" s="57">
        <v>1</v>
      </c>
      <c r="X212" s="61">
        <f t="shared" si="209"/>
        <v>3</v>
      </c>
      <c r="Y212" s="40">
        <f t="shared" si="219"/>
        <v>0</v>
      </c>
      <c r="Z212" s="40">
        <f t="shared" si="220"/>
        <v>-445.96212217088805</v>
      </c>
      <c r="AA212" s="44">
        <f t="shared" si="221"/>
        <v>1337.8863665126642</v>
      </c>
      <c r="AB212" s="35">
        <f t="shared" si="222"/>
        <v>3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483.68879292514106</v>
      </c>
      <c r="AD212" s="57">
        <v>0</v>
      </c>
      <c r="AE212" s="57">
        <v>0</v>
      </c>
      <c r="AF212" s="61">
        <f t="shared" si="210"/>
        <v>3</v>
      </c>
      <c r="AG212" s="40">
        <f t="shared" si="223"/>
        <v>0</v>
      </c>
      <c r="AH212" s="40">
        <f t="shared" si="224"/>
        <v>0</v>
      </c>
      <c r="AI212" s="44">
        <f t="shared" si="225"/>
        <v>1451.0663787754231</v>
      </c>
      <c r="AJ212" s="35">
        <f t="shared" si="211"/>
        <v>3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523.62562942354805</v>
      </c>
      <c r="AL212" s="57">
        <v>0</v>
      </c>
      <c r="AM212" s="57">
        <v>0</v>
      </c>
      <c r="AN212" s="61">
        <f t="shared" si="212"/>
        <v>3</v>
      </c>
      <c r="AO212" s="40">
        <f t="shared" si="226"/>
        <v>0</v>
      </c>
      <c r="AP212" s="40">
        <f t="shared" si="227"/>
        <v>0</v>
      </c>
      <c r="AQ212" s="44">
        <f t="shared" si="228"/>
        <v>1570.876888270644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10</v>
      </c>
      <c r="G213" s="35">
        <f>SUMIFS(WORKING!$AC$3:$AC$6802,WORKING!$A$3:$A$6802,Results!$D$3,WORKING!$B$3:$B$6802,Results!A213,WORKING!$C$3:$C$6802,Results!C213)/1000</f>
        <v>5586.6991600000001</v>
      </c>
      <c r="H213" s="35">
        <f t="shared" si="213"/>
        <v>558.66991600000006</v>
      </c>
      <c r="I213" s="187">
        <v>41</v>
      </c>
      <c r="J213" s="212">
        <v>17602</v>
      </c>
      <c r="K213" s="217">
        <f t="shared" si="214"/>
        <v>429.3170731707317</v>
      </c>
      <c r="L213" s="34">
        <f t="shared" si="207"/>
        <v>41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468.21387763516736</v>
      </c>
      <c r="N213" s="57">
        <v>1</v>
      </c>
      <c r="O213" s="57">
        <v>17</v>
      </c>
      <c r="P213" s="61">
        <f t="shared" si="208"/>
        <v>25</v>
      </c>
      <c r="Q213" s="40">
        <f t="shared" si="215"/>
        <v>468.21387763516736</v>
      </c>
      <c r="R213" s="40">
        <f t="shared" si="216"/>
        <v>-7959.6359197978454</v>
      </c>
      <c r="S213" s="44">
        <f t="shared" si="217"/>
        <v>11705.346940879184</v>
      </c>
      <c r="T213" s="35">
        <f t="shared" si="218"/>
        <v>25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508.29710694077397</v>
      </c>
      <c r="V213" s="57">
        <v>0</v>
      </c>
      <c r="W213" s="57">
        <v>8</v>
      </c>
      <c r="X213" s="61">
        <f t="shared" si="209"/>
        <v>17</v>
      </c>
      <c r="Y213" s="40">
        <f t="shared" si="219"/>
        <v>0</v>
      </c>
      <c r="Z213" s="40">
        <f t="shared" si="220"/>
        <v>-4066.3768555261918</v>
      </c>
      <c r="AA213" s="44">
        <f t="shared" si="221"/>
        <v>8641.0508179931567</v>
      </c>
      <c r="AB213" s="35">
        <f t="shared" si="222"/>
        <v>17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551.29620815783278</v>
      </c>
      <c r="AD213" s="57">
        <v>0</v>
      </c>
      <c r="AE213" s="57">
        <v>0</v>
      </c>
      <c r="AF213" s="61">
        <f t="shared" si="210"/>
        <v>17</v>
      </c>
      <c r="AG213" s="40">
        <f t="shared" si="223"/>
        <v>0</v>
      </c>
      <c r="AH213" s="40">
        <f t="shared" si="224"/>
        <v>0</v>
      </c>
      <c r="AI213" s="44">
        <f t="shared" si="225"/>
        <v>9372.0355386831579</v>
      </c>
      <c r="AJ213" s="35">
        <f t="shared" si="211"/>
        <v>17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596.81434823310553</v>
      </c>
      <c r="AL213" s="57">
        <v>0</v>
      </c>
      <c r="AM213" s="57">
        <v>0</v>
      </c>
      <c r="AN213" s="61">
        <f t="shared" si="212"/>
        <v>17</v>
      </c>
      <c r="AO213" s="40">
        <f t="shared" si="226"/>
        <v>0</v>
      </c>
      <c r="AP213" s="40">
        <f t="shared" si="227"/>
        <v>0</v>
      </c>
      <c r="AQ213" s="44">
        <f t="shared" si="228"/>
        <v>10145.843919962794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3</v>
      </c>
      <c r="G214" s="35">
        <f>SUMIFS(WORKING!$AC$3:$AC$6802,WORKING!$A$3:$A$6802,Results!$D$3,WORKING!$B$3:$B$6802,Results!A214,WORKING!$C$3:$C$6802,Results!C214)/1000</f>
        <v>1912.1393399999999</v>
      </c>
      <c r="H214" s="35">
        <f t="shared" si="213"/>
        <v>637.37977999999998</v>
      </c>
      <c r="I214" s="187">
        <v>58</v>
      </c>
      <c r="J214" s="212">
        <v>25235</v>
      </c>
      <c r="K214" s="217">
        <f t="shared" si="214"/>
        <v>435.08620689655174</v>
      </c>
      <c r="L214" s="34">
        <f t="shared" si="207"/>
        <v>58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474.94834067946704</v>
      </c>
      <c r="N214" s="57">
        <v>10</v>
      </c>
      <c r="O214" s="57">
        <v>0</v>
      </c>
      <c r="P214" s="61">
        <f t="shared" si="208"/>
        <v>68</v>
      </c>
      <c r="Q214" s="40">
        <f t="shared" si="215"/>
        <v>4749.4834067946704</v>
      </c>
      <c r="R214" s="40">
        <f t="shared" si="216"/>
        <v>0</v>
      </c>
      <c r="S214" s="44">
        <f t="shared" si="217"/>
        <v>32296.487166203759</v>
      </c>
      <c r="T214" s="35">
        <f t="shared" si="218"/>
        <v>68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515.57154520952679</v>
      </c>
      <c r="V214" s="57">
        <v>0</v>
      </c>
      <c r="W214" s="57">
        <v>62</v>
      </c>
      <c r="X214" s="61">
        <f t="shared" si="209"/>
        <v>6</v>
      </c>
      <c r="Y214" s="40">
        <f t="shared" si="219"/>
        <v>0</v>
      </c>
      <c r="Z214" s="40">
        <f t="shared" si="220"/>
        <v>-31965.435802990662</v>
      </c>
      <c r="AA214" s="44">
        <f t="shared" si="221"/>
        <v>3093.4292712571605</v>
      </c>
      <c r="AB214" s="35">
        <f t="shared" si="222"/>
        <v>6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559.14627164233286</v>
      </c>
      <c r="AD214" s="57">
        <v>0</v>
      </c>
      <c r="AE214" s="57">
        <v>0</v>
      </c>
      <c r="AF214" s="61">
        <f t="shared" si="210"/>
        <v>6</v>
      </c>
      <c r="AG214" s="40">
        <f t="shared" si="223"/>
        <v>0</v>
      </c>
      <c r="AH214" s="40">
        <f t="shared" si="224"/>
        <v>0</v>
      </c>
      <c r="AI214" s="44">
        <f t="shared" si="225"/>
        <v>3354.877629853997</v>
      </c>
      <c r="AJ214" s="35">
        <f t="shared" si="211"/>
        <v>6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605.26929188819554</v>
      </c>
      <c r="AL214" s="57">
        <v>0</v>
      </c>
      <c r="AM214" s="57">
        <v>0</v>
      </c>
      <c r="AN214" s="61">
        <f t="shared" si="212"/>
        <v>6</v>
      </c>
      <c r="AO214" s="40">
        <f t="shared" si="226"/>
        <v>0</v>
      </c>
      <c r="AP214" s="40">
        <f t="shared" si="227"/>
        <v>0</v>
      </c>
      <c r="AQ214" s="44">
        <f t="shared" si="228"/>
        <v>3631.6157513291732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12</v>
      </c>
      <c r="G215" s="35">
        <f>SUMIFS(WORKING!$AC$3:$AC$6802,WORKING!$A$3:$A$6802,Results!$D$3,WORKING!$B$3:$B$6802,Results!A215,WORKING!$C$3:$C$6802,Results!C215)/1000</f>
        <v>8493.4918200000011</v>
      </c>
      <c r="H215" s="35">
        <f t="shared" si="213"/>
        <v>707.79098500000009</v>
      </c>
      <c r="I215" s="187">
        <v>56</v>
      </c>
      <c r="J215" s="212">
        <v>31384</v>
      </c>
      <c r="K215" s="217">
        <f t="shared" si="214"/>
        <v>560.42857142857144</v>
      </c>
      <c r="L215" s="34">
        <f t="shared" si="207"/>
        <v>56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611.64798029702365</v>
      </c>
      <c r="N215" s="57">
        <v>3</v>
      </c>
      <c r="O215" s="57">
        <v>11</v>
      </c>
      <c r="P215" s="61">
        <f t="shared" si="208"/>
        <v>48</v>
      </c>
      <c r="Q215" s="40">
        <f t="shared" si="215"/>
        <v>1834.943940891071</v>
      </c>
      <c r="R215" s="40">
        <f t="shared" si="216"/>
        <v>-6728.1277832672604</v>
      </c>
      <c r="S215" s="44">
        <f t="shared" si="217"/>
        <v>29359.103054257135</v>
      </c>
      <c r="T215" s="35">
        <f t="shared" si="218"/>
        <v>48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663.82610986222176</v>
      </c>
      <c r="V215" s="57">
        <v>0</v>
      </c>
      <c r="W215" s="57">
        <v>38</v>
      </c>
      <c r="X215" s="61">
        <f t="shared" si="209"/>
        <v>10</v>
      </c>
      <c r="Y215" s="40">
        <f t="shared" si="219"/>
        <v>0</v>
      </c>
      <c r="Z215" s="40">
        <f t="shared" si="220"/>
        <v>-25225.392174764427</v>
      </c>
      <c r="AA215" s="44">
        <f t="shared" si="221"/>
        <v>6638.2610986222171</v>
      </c>
      <c r="AB215" s="35">
        <f t="shared" si="222"/>
        <v>10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719.78209978736095</v>
      </c>
      <c r="AD215" s="57">
        <v>0</v>
      </c>
      <c r="AE215" s="57">
        <v>1</v>
      </c>
      <c r="AF215" s="61">
        <f t="shared" si="210"/>
        <v>9</v>
      </c>
      <c r="AG215" s="40">
        <f t="shared" si="223"/>
        <v>0</v>
      </c>
      <c r="AH215" s="40">
        <f t="shared" si="224"/>
        <v>-719.78209978736095</v>
      </c>
      <c r="AI215" s="44">
        <f t="shared" si="225"/>
        <v>6478.0388980862481</v>
      </c>
      <c r="AJ215" s="35">
        <f t="shared" si="211"/>
        <v>9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778.99463738808015</v>
      </c>
      <c r="AL215" s="57">
        <v>0</v>
      </c>
      <c r="AM215" s="57">
        <v>0</v>
      </c>
      <c r="AN215" s="61">
        <f t="shared" si="212"/>
        <v>9</v>
      </c>
      <c r="AO215" s="40">
        <f t="shared" si="226"/>
        <v>0</v>
      </c>
      <c r="AP215" s="40">
        <f t="shared" si="227"/>
        <v>0</v>
      </c>
      <c r="AQ215" s="44">
        <f t="shared" si="228"/>
        <v>7010.9517364927215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1</v>
      </c>
      <c r="G216" s="35">
        <f>SUMIFS(WORKING!$AC$3:$AC$6802,WORKING!$A$3:$A$6802,Results!$D$3,WORKING!$B$3:$B$6802,Results!A216,WORKING!$C$3:$C$6802,Results!C216)/1000</f>
        <v>1029.0963899999997</v>
      </c>
      <c r="H216" s="35">
        <f t="shared" si="213"/>
        <v>1029.0963899999997</v>
      </c>
      <c r="I216" s="187">
        <v>12</v>
      </c>
      <c r="J216" s="212">
        <v>8725</v>
      </c>
      <c r="K216" s="217">
        <f t="shared" si="214"/>
        <v>727.08333333333337</v>
      </c>
      <c r="L216" s="34">
        <f t="shared" si="207"/>
        <v>12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761.99738861154935</v>
      </c>
      <c r="N216" s="57">
        <v>2</v>
      </c>
      <c r="O216" s="57">
        <v>4</v>
      </c>
      <c r="P216" s="61">
        <f t="shared" si="208"/>
        <v>10</v>
      </c>
      <c r="Q216" s="40">
        <f t="shared" si="215"/>
        <v>1523.9947772230987</v>
      </c>
      <c r="R216" s="40">
        <f t="shared" si="216"/>
        <v>-3047.9895544461974</v>
      </c>
      <c r="S216" s="44">
        <f t="shared" si="217"/>
        <v>7619.9738861154938</v>
      </c>
      <c r="T216" s="35">
        <f t="shared" si="218"/>
        <v>10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819.46105815708415</v>
      </c>
      <c r="V216" s="57">
        <v>0</v>
      </c>
      <c r="W216" s="57">
        <v>5</v>
      </c>
      <c r="X216" s="61">
        <f t="shared" si="209"/>
        <v>5</v>
      </c>
      <c r="Y216" s="40">
        <f t="shared" si="219"/>
        <v>0</v>
      </c>
      <c r="Z216" s="40">
        <f t="shared" si="220"/>
        <v>-4097.3052907854208</v>
      </c>
      <c r="AA216" s="44">
        <f t="shared" si="221"/>
        <v>4097.3052907854208</v>
      </c>
      <c r="AB216" s="35">
        <f t="shared" si="222"/>
        <v>5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880.42679647006116</v>
      </c>
      <c r="AD216" s="57">
        <v>0</v>
      </c>
      <c r="AE216" s="57">
        <v>0</v>
      </c>
      <c r="AF216" s="61">
        <f t="shared" si="210"/>
        <v>5</v>
      </c>
      <c r="AG216" s="40">
        <f t="shared" si="223"/>
        <v>0</v>
      </c>
      <c r="AH216" s="40">
        <f t="shared" si="224"/>
        <v>0</v>
      </c>
      <c r="AI216" s="44">
        <f t="shared" si="225"/>
        <v>4402.1339823503058</v>
      </c>
      <c r="AJ216" s="35">
        <f t="shared" si="211"/>
        <v>5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944.14176911614334</v>
      </c>
      <c r="AL216" s="57">
        <v>0</v>
      </c>
      <c r="AM216" s="57">
        <v>0</v>
      </c>
      <c r="AN216" s="61">
        <f t="shared" si="212"/>
        <v>5</v>
      </c>
      <c r="AO216" s="40">
        <f t="shared" si="226"/>
        <v>0</v>
      </c>
      <c r="AP216" s="40">
        <f t="shared" si="227"/>
        <v>0</v>
      </c>
      <c r="AQ216" s="44">
        <f t="shared" si="228"/>
        <v>4720.708845580717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>
        <v>2</v>
      </c>
      <c r="J217" s="212">
        <v>1859</v>
      </c>
      <c r="K217" s="217">
        <f t="shared" si="214"/>
        <v>929.5</v>
      </c>
      <c r="L217" s="34">
        <f t="shared" si="207"/>
        <v>2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960.17349999999988</v>
      </c>
      <c r="N217" s="57">
        <v>1</v>
      </c>
      <c r="O217" s="57">
        <v>1</v>
      </c>
      <c r="P217" s="61">
        <f t="shared" si="208"/>
        <v>2</v>
      </c>
      <c r="Q217" s="40">
        <f t="shared" si="215"/>
        <v>960.17349999999988</v>
      </c>
      <c r="R217" s="40">
        <f t="shared" si="216"/>
        <v>-960.17349999999988</v>
      </c>
      <c r="S217" s="44">
        <f t="shared" si="217"/>
        <v>1920.3469999999998</v>
      </c>
      <c r="T217" s="35">
        <f t="shared" si="218"/>
        <v>2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1017.7839099999999</v>
      </c>
      <c r="V217" s="57">
        <v>0</v>
      </c>
      <c r="W217" s="57">
        <v>1</v>
      </c>
      <c r="X217" s="61">
        <f t="shared" si="209"/>
        <v>1</v>
      </c>
      <c r="Y217" s="40">
        <f t="shared" si="219"/>
        <v>0</v>
      </c>
      <c r="Z217" s="40">
        <f t="shared" si="220"/>
        <v>-1017.7839099999999</v>
      </c>
      <c r="AA217" s="44">
        <f t="shared" si="221"/>
        <v>1017.7839099999999</v>
      </c>
      <c r="AB217" s="35">
        <f t="shared" si="222"/>
        <v>1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1077.8331606899999</v>
      </c>
      <c r="AD217" s="57">
        <v>0</v>
      </c>
      <c r="AE217" s="57">
        <v>0</v>
      </c>
      <c r="AF217" s="61">
        <f t="shared" si="210"/>
        <v>1</v>
      </c>
      <c r="AG217" s="40">
        <f t="shared" si="223"/>
        <v>0</v>
      </c>
      <c r="AH217" s="40">
        <f t="shared" si="224"/>
        <v>0</v>
      </c>
      <c r="AI217" s="44">
        <f t="shared" si="225"/>
        <v>1077.8331606899999</v>
      </c>
      <c r="AJ217" s="35">
        <f t="shared" si="211"/>
        <v>1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1139.2696508493298</v>
      </c>
      <c r="AL217" s="57">
        <v>0</v>
      </c>
      <c r="AM217" s="57">
        <v>0</v>
      </c>
      <c r="AN217" s="61">
        <f t="shared" si="212"/>
        <v>1</v>
      </c>
      <c r="AO217" s="40">
        <f t="shared" si="226"/>
        <v>0</v>
      </c>
      <c r="AP217" s="40">
        <f t="shared" si="227"/>
        <v>0</v>
      </c>
      <c r="AQ217" s="44">
        <f t="shared" si="228"/>
        <v>1139.2696508493298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>
        <v>1</v>
      </c>
      <c r="J218" s="212">
        <v>1050</v>
      </c>
      <c r="K218" s="217">
        <f t="shared" si="214"/>
        <v>1050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1084.6499999999999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1084.6499999999999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1149.7289999999998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1149.7289999999998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1217.5630109999997</v>
      </c>
      <c r="AD218" s="57">
        <v>0</v>
      </c>
      <c r="AE218" s="57">
        <v>0</v>
      </c>
      <c r="AF218" s="61">
        <f t="shared" si="210"/>
        <v>1</v>
      </c>
      <c r="AG218" s="40">
        <f t="shared" si="223"/>
        <v>0</v>
      </c>
      <c r="AH218" s="40">
        <f t="shared" si="224"/>
        <v>0</v>
      </c>
      <c r="AI218" s="44">
        <f t="shared" si="225"/>
        <v>1217.5630109999997</v>
      </c>
      <c r="AJ218" s="35">
        <f t="shared" si="211"/>
        <v>1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1286.9641026269996</v>
      </c>
      <c r="AL218" s="57">
        <v>0</v>
      </c>
      <c r="AM218" s="57">
        <v>0</v>
      </c>
      <c r="AN218" s="61">
        <f t="shared" si="212"/>
        <v>1</v>
      </c>
      <c r="AO218" s="40">
        <f t="shared" si="226"/>
        <v>0</v>
      </c>
      <c r="AP218" s="40">
        <f t="shared" si="227"/>
        <v>0</v>
      </c>
      <c r="AQ218" s="44">
        <f t="shared" si="228"/>
        <v>1286.9641026269996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>
        <v>0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>
        <v>0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>
        <v>0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>
        <v>0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>
        <v>0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40</v>
      </c>
      <c r="G224" s="41">
        <f>SUM(G204:G223)</f>
        <v>20772.353999999999</v>
      </c>
      <c r="H224" s="41">
        <f>IFERROR(G224/F224,0)</f>
        <v>519.30885000000001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376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123990</v>
      </c>
      <c r="K224" s="41">
        <f>IFERROR(J224/I224,"")</f>
        <v>329.76063829787233</v>
      </c>
      <c r="L224" s="41">
        <f>SUM(L204:L223)</f>
        <v>376</v>
      </c>
      <c r="M224" s="41">
        <f>IFERROR(S224/P224,0)</f>
        <v>347.80223850295329</v>
      </c>
      <c r="N224" s="41">
        <f t="shared" ref="N224:T224" si="230">SUM(N204:N223)</f>
        <v>28</v>
      </c>
      <c r="O224" s="41">
        <f t="shared" si="230"/>
        <v>43</v>
      </c>
      <c r="P224" s="41">
        <f t="shared" si="230"/>
        <v>361</v>
      </c>
      <c r="Q224" s="41">
        <f t="shared" si="230"/>
        <v>12338.774457656895</v>
      </c>
      <c r="R224" s="41">
        <f t="shared" si="230"/>
        <v>-21372.992489330562</v>
      </c>
      <c r="S224" s="45">
        <f t="shared" si="230"/>
        <v>125556.60809956615</v>
      </c>
      <c r="T224" s="41">
        <f t="shared" si="230"/>
        <v>361</v>
      </c>
      <c r="U224" s="41">
        <f>IFERROR(AA224/X224,0)</f>
        <v>326.77685446845123</v>
      </c>
      <c r="V224" s="41">
        <f t="shared" ref="V224:AB224" si="231">SUM(V204:V223)</f>
        <v>0</v>
      </c>
      <c r="W224" s="41">
        <f t="shared" si="231"/>
        <v>211</v>
      </c>
      <c r="X224" s="41">
        <f t="shared" si="231"/>
        <v>150</v>
      </c>
      <c r="Y224" s="41">
        <f t="shared" si="231"/>
        <v>0</v>
      </c>
      <c r="Z224" s="41">
        <f t="shared" si="231"/>
        <v>-87064.954112244362</v>
      </c>
      <c r="AA224" s="45">
        <f t="shared" si="231"/>
        <v>49016.528170267688</v>
      </c>
      <c r="AB224" s="41">
        <f t="shared" si="231"/>
        <v>150</v>
      </c>
      <c r="AC224" s="41">
        <f>IFERROR(AI224/AF224,0)</f>
        <v>352.10016152787227</v>
      </c>
      <c r="AD224" s="41">
        <f t="shared" ref="AD224:AJ224" si="232">SUM(AD204:AD223)</f>
        <v>0</v>
      </c>
      <c r="AE224" s="41">
        <f t="shared" si="232"/>
        <v>2</v>
      </c>
      <c r="AF224" s="41">
        <f t="shared" si="232"/>
        <v>148</v>
      </c>
      <c r="AG224" s="41">
        <f t="shared" si="232"/>
        <v>0</v>
      </c>
      <c r="AH224" s="41">
        <f t="shared" si="232"/>
        <v>-911.81124936027391</v>
      </c>
      <c r="AI224" s="45">
        <f t="shared" si="232"/>
        <v>52110.823906125093</v>
      </c>
      <c r="AJ224" s="41">
        <f t="shared" si="232"/>
        <v>148</v>
      </c>
      <c r="AK224" s="41">
        <f>IFERROR(AQ224/AN224,0)</f>
        <v>380.16162811928382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148</v>
      </c>
      <c r="AO224" s="41">
        <f t="shared" si="233"/>
        <v>0</v>
      </c>
      <c r="AP224" s="41">
        <f t="shared" si="233"/>
        <v>0</v>
      </c>
      <c r="AQ224" s="45">
        <f t="shared" si="233"/>
        <v>56263.920961654003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160468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168545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178676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192255.37600000002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34911.391900433853</v>
      </c>
      <c r="T226" s="39"/>
      <c r="U226" s="39"/>
      <c r="V226" s="53"/>
      <c r="W226" s="53"/>
      <c r="X226" s="110"/>
      <c r="Y226" s="39"/>
      <c r="Z226" s="39"/>
      <c r="AA226" s="54">
        <f>AA225-AA224</f>
        <v>119528.47182973231</v>
      </c>
      <c r="AB226" s="39"/>
      <c r="AC226" s="53"/>
      <c r="AD226" s="53"/>
      <c r="AE226" s="110"/>
      <c r="AF226" s="39"/>
      <c r="AG226" s="39"/>
      <c r="AH226" s="39"/>
      <c r="AI226" s="54">
        <f>AI225-AI224</f>
        <v>126565.17609387491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135991.455038346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BemGiAv5uWDv1tmTTMRi0OUhNKHT1DzsWmqX7r4kDkRwJ6A/b2yM6LY+tk6MttOT+94SJQVS7t66XvRd2Md7qQ==" saltValue="oioRVGwJlfXBGwoLIKV3B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Health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16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42671.497501620368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NAT_HRBP__42671.4975016204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HRBP-Vote16.xlsx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sharepoint/v3"/>
    <ds:schemaRef ds:uri="http://schemas.microsoft.com/office/2006/metadata/properties"/>
    <ds:schemaRef ds:uri="http://purl.org/dc/terms/"/>
    <ds:schemaRef ds:uri="df7ca258-5e24-45de-bd31-dbc76bc6765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